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Лист1" sheetId="1" r:id="rId1"/>
  </sheets>
  <definedNames>
    <definedName name="_xlnm.Print_Area" localSheetId="0">Лист1!$A$12:$BW$93</definedName>
  </definedNames>
  <calcPr calcId="162913"/>
</workbook>
</file>

<file path=xl/calcChain.xml><?xml version="1.0" encoding="utf-8"?>
<calcChain xmlns="http://schemas.openxmlformats.org/spreadsheetml/2006/main">
  <c r="AD33" i="1" l="1"/>
  <c r="Y31" i="1" l="1"/>
  <c r="AH32" i="1"/>
  <c r="AH33" i="1"/>
  <c r="AH31" i="1"/>
  <c r="AD31" i="1" s="1"/>
  <c r="J92" i="1" l="1"/>
  <c r="F92" i="1"/>
  <c r="J91" i="1"/>
  <c r="F91" i="1"/>
  <c r="AG71" i="1"/>
  <c r="AG69" i="1" s="1"/>
  <c r="AE90" i="1"/>
  <c r="AF90" i="1"/>
  <c r="AH90" i="1"/>
  <c r="U93" i="1"/>
  <c r="AG93" i="1" s="1"/>
  <c r="AD72" i="1"/>
  <c r="AG72" i="1" s="1"/>
  <c r="AD93" i="1" l="1"/>
  <c r="AD71" i="1"/>
  <c r="AD69" i="1" s="1"/>
  <c r="K68" i="1"/>
  <c r="H68" i="1" l="1"/>
  <c r="F68" i="1"/>
  <c r="F67" i="1"/>
  <c r="F66" i="1"/>
  <c r="F65" i="1"/>
  <c r="F64" i="1"/>
  <c r="F63" i="1"/>
  <c r="F62" i="1"/>
  <c r="F61" i="1"/>
  <c r="F60" i="1"/>
  <c r="F59" i="1"/>
  <c r="T56" i="1"/>
  <c r="J56" i="1"/>
  <c r="I56" i="1"/>
  <c r="F56" i="1"/>
  <c r="J53" i="1"/>
  <c r="J55" i="1"/>
  <c r="F55" i="1"/>
  <c r="F53" i="1"/>
  <c r="AG48" i="1"/>
  <c r="Y48" i="1"/>
  <c r="AD48" i="1" s="1"/>
  <c r="AB54" i="1"/>
  <c r="Q53" i="1" l="1"/>
  <c r="P53" i="1"/>
  <c r="T48" i="1"/>
  <c r="Q48" i="1"/>
  <c r="P48" i="1"/>
  <c r="Q33" i="1"/>
  <c r="P33" i="1"/>
  <c r="Q32" i="1"/>
  <c r="P32" i="1"/>
  <c r="W28" i="1" l="1"/>
  <c r="Z28" i="1"/>
  <c r="AA28" i="1"/>
  <c r="AC28" i="1"/>
  <c r="AE28" i="1"/>
  <c r="AF28" i="1"/>
  <c r="AH28" i="1"/>
  <c r="AH27" i="1" s="1"/>
  <c r="AH26" i="1" s="1"/>
  <c r="N33" i="1" l="1"/>
  <c r="AD32" i="1" l="1"/>
  <c r="X32" i="1"/>
  <c r="V32" i="1" s="1"/>
  <c r="U32" i="1"/>
  <c r="T32" i="1" s="1"/>
  <c r="Y32" i="1" l="1"/>
  <c r="AG68" i="1"/>
  <c r="AG67" i="1"/>
  <c r="AG66" i="1"/>
  <c r="AG65" i="1"/>
  <c r="AG64" i="1"/>
  <c r="AG63" i="1"/>
  <c r="AG62" i="1"/>
  <c r="AG61" i="1"/>
  <c r="AG60" i="1"/>
  <c r="AG59" i="1"/>
  <c r="AD59" i="1" l="1"/>
  <c r="AB59" i="1"/>
  <c r="AD67" i="1"/>
  <c r="Y67" i="1" s="1"/>
  <c r="AB67" i="1"/>
  <c r="AD65" i="1"/>
  <c r="Y65" i="1" s="1"/>
  <c r="AB65" i="1"/>
  <c r="AD60" i="1"/>
  <c r="Y60" i="1" s="1"/>
  <c r="AB60" i="1"/>
  <c r="AD66" i="1"/>
  <c r="Y66" i="1" s="1"/>
  <c r="AB66" i="1"/>
  <c r="AD61" i="1"/>
  <c r="Y61" i="1" s="1"/>
  <c r="AB61" i="1"/>
  <c r="AD62" i="1"/>
  <c r="Y62" i="1" s="1"/>
  <c r="AB62" i="1"/>
  <c r="AD68" i="1"/>
  <c r="Y68" i="1" s="1"/>
  <c r="AB68" i="1"/>
  <c r="AD63" i="1"/>
  <c r="Y63" i="1" s="1"/>
  <c r="AB63" i="1"/>
  <c r="AD64" i="1"/>
  <c r="Y64" i="1" s="1"/>
  <c r="AB64" i="1"/>
  <c r="K56" i="1"/>
  <c r="H56" i="1" s="1"/>
  <c r="Y59" i="1" l="1"/>
  <c r="Y57" i="1" s="1"/>
  <c r="AD57" i="1"/>
  <c r="AB57" i="1"/>
  <c r="U68" i="1"/>
  <c r="U67" i="1"/>
  <c r="U66" i="1"/>
  <c r="U65" i="1"/>
  <c r="U64" i="1"/>
  <c r="U63" i="1"/>
  <c r="U62" i="1"/>
  <c r="U61" i="1"/>
  <c r="U60" i="1"/>
  <c r="U59" i="1"/>
  <c r="X59" i="1" l="1"/>
  <c r="V59" i="1" s="1"/>
  <c r="T59" i="1"/>
  <c r="X67" i="1"/>
  <c r="V67" i="1" s="1"/>
  <c r="T67" i="1"/>
  <c r="X63" i="1"/>
  <c r="V63" i="1" s="1"/>
  <c r="T63" i="1"/>
  <c r="X64" i="1"/>
  <c r="V64" i="1" s="1"/>
  <c r="T64" i="1"/>
  <c r="X65" i="1"/>
  <c r="V65" i="1" s="1"/>
  <c r="T65" i="1"/>
  <c r="X60" i="1"/>
  <c r="V60" i="1" s="1"/>
  <c r="T60" i="1"/>
  <c r="X66" i="1"/>
  <c r="V66" i="1" s="1"/>
  <c r="T66" i="1"/>
  <c r="X61" i="1"/>
  <c r="V61" i="1" s="1"/>
  <c r="T61" i="1"/>
  <c r="X62" i="1"/>
  <c r="V62" i="1" s="1"/>
  <c r="T62" i="1"/>
  <c r="X68" i="1"/>
  <c r="V68" i="1" s="1"/>
  <c r="T68" i="1"/>
  <c r="U53" i="1"/>
  <c r="T53" i="1" s="1"/>
  <c r="AH47" i="1" l="1"/>
  <c r="AF47" i="1"/>
  <c r="AE47" i="1"/>
  <c r="AE46" i="1" s="1"/>
  <c r="AE27" i="1" s="1"/>
  <c r="AC47" i="1"/>
  <c r="AC46" i="1" s="1"/>
  <c r="AA47" i="1"/>
  <c r="AA46" i="1" s="1"/>
  <c r="AA27" i="1" s="1"/>
  <c r="Z47" i="1"/>
  <c r="Z46" i="1" s="1"/>
  <c r="Z27" i="1" s="1"/>
  <c r="W47" i="1"/>
  <c r="W46" i="1" s="1"/>
  <c r="W27" i="1" s="1"/>
  <c r="U47" i="1"/>
  <c r="U46" i="1" s="1"/>
  <c r="T47" i="1"/>
  <c r="T46" i="1" s="1"/>
  <c r="S47" i="1"/>
  <c r="S46" i="1" s="1"/>
  <c r="R47" i="1"/>
  <c r="R46" i="1" s="1"/>
  <c r="Q47" i="1"/>
  <c r="Q46" i="1" s="1"/>
  <c r="P47" i="1"/>
  <c r="P46" i="1" s="1"/>
  <c r="O47" i="1"/>
  <c r="O46" i="1" s="1"/>
  <c r="N47" i="1"/>
  <c r="AF46" i="1"/>
  <c r="AF27" i="1" s="1"/>
  <c r="N46" i="1"/>
  <c r="I47" i="1"/>
  <c r="I46" i="1" s="1"/>
  <c r="X48" i="1"/>
  <c r="AC27" i="1" l="1"/>
  <c r="V48" i="1"/>
  <c r="V47" i="1" s="1"/>
  <c r="V46" i="1" s="1"/>
  <c r="X47" i="1"/>
  <c r="X46" i="1" s="1"/>
  <c r="AB47" i="1" l="1"/>
  <c r="AB46" i="1" s="1"/>
  <c r="AG47" i="1"/>
  <c r="AG46" i="1" s="1"/>
  <c r="Y47" i="1" l="1"/>
  <c r="Y46" i="1" s="1"/>
  <c r="AD47" i="1"/>
  <c r="AD46" i="1" s="1"/>
  <c r="L92" i="1"/>
  <c r="I92" i="1" s="1"/>
  <c r="K92" i="1"/>
  <c r="L91" i="1"/>
  <c r="I91" i="1" s="1"/>
  <c r="L68" i="1"/>
  <c r="I68" i="1" s="1"/>
  <c r="L67" i="1"/>
  <c r="I67" i="1" s="1"/>
  <c r="K67" i="1"/>
  <c r="H67" i="1" s="1"/>
  <c r="L66" i="1"/>
  <c r="I66" i="1" s="1"/>
  <c r="K66" i="1"/>
  <c r="H66" i="1" s="1"/>
  <c r="L65" i="1"/>
  <c r="I65" i="1" s="1"/>
  <c r="K65" i="1"/>
  <c r="H65" i="1" s="1"/>
  <c r="L64" i="1"/>
  <c r="I64" i="1" s="1"/>
  <c r="K64" i="1"/>
  <c r="H64" i="1" s="1"/>
  <c r="L63" i="1"/>
  <c r="I63" i="1" s="1"/>
  <c r="K63" i="1"/>
  <c r="H63" i="1" s="1"/>
  <c r="L62" i="1"/>
  <c r="I62" i="1" s="1"/>
  <c r="K62" i="1"/>
  <c r="H62" i="1" s="1"/>
  <c r="L61" i="1"/>
  <c r="I61" i="1" s="1"/>
  <c r="K61" i="1"/>
  <c r="H61" i="1" s="1"/>
  <c r="L60" i="1"/>
  <c r="I60" i="1" s="1"/>
  <c r="K60" i="1"/>
  <c r="H60" i="1" s="1"/>
  <c r="L59" i="1"/>
  <c r="I59" i="1" s="1"/>
  <c r="K59" i="1"/>
  <c r="H59" i="1" s="1"/>
  <c r="L55" i="1" l="1"/>
  <c r="I55" i="1" s="1"/>
  <c r="K55" i="1"/>
  <c r="H55" i="1" s="1"/>
  <c r="L53" i="1"/>
  <c r="I53" i="1" s="1"/>
  <c r="K53" i="1"/>
  <c r="H53" i="1" s="1"/>
  <c r="X56" i="1" l="1"/>
  <c r="V56" i="1" s="1"/>
  <c r="U92" i="1" l="1"/>
  <c r="T92" i="1" s="1"/>
  <c r="U91" i="1"/>
  <c r="T91" i="1" s="1"/>
  <c r="U55" i="1"/>
  <c r="T55" i="1" s="1"/>
  <c r="U33" i="1" l="1"/>
  <c r="T33" i="1" s="1"/>
  <c r="AC90" i="1" l="1"/>
  <c r="AC26" i="1" s="1"/>
  <c r="AA90" i="1"/>
  <c r="Z90" i="1"/>
  <c r="W90" i="1"/>
  <c r="T90" i="1"/>
  <c r="N90" i="1"/>
  <c r="O90" i="1"/>
  <c r="I90" i="1"/>
  <c r="H90" i="1"/>
  <c r="AH52" i="1"/>
  <c r="AH51" i="1" s="1"/>
  <c r="AF52" i="1"/>
  <c r="AF51" i="1" s="1"/>
  <c r="AF50" i="1" s="1"/>
  <c r="AF26" i="1" s="1"/>
  <c r="AE52" i="1"/>
  <c r="AE51" i="1" s="1"/>
  <c r="AE50" i="1" s="1"/>
  <c r="AE26" i="1" s="1"/>
  <c r="AC52" i="1"/>
  <c r="AA52" i="1"/>
  <c r="AA51" i="1" s="1"/>
  <c r="AA50" i="1" s="1"/>
  <c r="AA26" i="1" s="1"/>
  <c r="Z52" i="1"/>
  <c r="Z51" i="1" s="1"/>
  <c r="Z50" i="1" s="1"/>
  <c r="Z26" i="1" s="1"/>
  <c r="W52" i="1"/>
  <c r="T52" i="1"/>
  <c r="S52" i="1"/>
  <c r="R52" i="1"/>
  <c r="Q52" i="1"/>
  <c r="P52" i="1"/>
  <c r="AD56" i="1"/>
  <c r="AG56" i="1" l="1"/>
  <c r="AB56" i="1" s="1"/>
  <c r="Y56" i="1"/>
  <c r="L31" i="1"/>
  <c r="L28" i="1" s="1"/>
  <c r="L27" i="1" s="1"/>
  <c r="K31" i="1"/>
  <c r="K28" i="1" s="1"/>
  <c r="K27" i="1" s="1"/>
  <c r="O31" i="1" l="1"/>
  <c r="U31" i="1"/>
  <c r="S31" i="1"/>
  <c r="R31" i="1"/>
  <c r="N31" i="1"/>
  <c r="N28" i="1" s="1"/>
  <c r="N27" i="1" s="1"/>
  <c r="N26" i="1" s="1"/>
  <c r="X33" i="1"/>
  <c r="V33" i="1" l="1"/>
  <c r="P31" i="1"/>
  <c r="P28" i="1" s="1"/>
  <c r="P27" i="1" s="1"/>
  <c r="R28" i="1"/>
  <c r="R27" i="1" s="1"/>
  <c r="Q31" i="1"/>
  <c r="Q28" i="1" s="1"/>
  <c r="Q27" i="1" s="1"/>
  <c r="S28" i="1"/>
  <c r="S27" i="1" s="1"/>
  <c r="T31" i="1"/>
  <c r="T28" i="1" s="1"/>
  <c r="T27" i="1" s="1"/>
  <c r="U28" i="1"/>
  <c r="U27" i="1" s="1"/>
  <c r="O28" i="1"/>
  <c r="O27" i="1" s="1"/>
  <c r="X31" i="1"/>
  <c r="V31" i="1" l="1"/>
  <c r="V28" i="1" s="1"/>
  <c r="V27" i="1" s="1"/>
  <c r="X28" i="1"/>
  <c r="X27" i="1" s="1"/>
  <c r="Y33" i="1"/>
  <c r="AB28" i="1"/>
  <c r="AB27" i="1" s="1"/>
  <c r="AG28" i="1"/>
  <c r="AG27" i="1" s="1"/>
  <c r="X53" i="1"/>
  <c r="V53" i="1" s="1"/>
  <c r="X92" i="1"/>
  <c r="V92" i="1" s="1"/>
  <c r="X55" i="1"/>
  <c r="AD55" i="1" l="1"/>
  <c r="V55" i="1"/>
  <c r="V52" i="1"/>
  <c r="Y28" i="1"/>
  <c r="Y27" i="1" s="1"/>
  <c r="AD28" i="1"/>
  <c r="AD27" i="1" s="1"/>
  <c r="X91" i="1"/>
  <c r="U90" i="1"/>
  <c r="U57" i="1"/>
  <c r="O57" i="1"/>
  <c r="X90" i="1" l="1"/>
  <c r="V91" i="1"/>
  <c r="V90" i="1" s="1"/>
  <c r="V26" i="1" s="1"/>
  <c r="AG55" i="1"/>
  <c r="AB55" i="1" s="1"/>
  <c r="Y55" i="1"/>
  <c r="T51" i="1"/>
  <c r="AD91" i="1"/>
  <c r="AD92" i="1"/>
  <c r="L90" i="1"/>
  <c r="K90" i="1"/>
  <c r="AG92" i="1" l="1"/>
  <c r="AB92" i="1"/>
  <c r="Y92" i="1"/>
  <c r="AG91" i="1"/>
  <c r="Y91" i="1"/>
  <c r="AD90" i="1"/>
  <c r="X57" i="1"/>
  <c r="AG90" i="1" l="1"/>
  <c r="AB91" i="1"/>
  <c r="AB90" i="1" s="1"/>
  <c r="AG57" i="1"/>
  <c r="K57" i="1" l="1"/>
  <c r="L57" i="1"/>
  <c r="K52" i="1"/>
  <c r="K51" i="1" l="1"/>
  <c r="O54" i="1"/>
  <c r="O52" i="1" s="1"/>
  <c r="O51" i="1" s="1"/>
  <c r="L52" i="1"/>
  <c r="L51" i="1" s="1"/>
  <c r="U52" i="1" l="1"/>
  <c r="U51" i="1" s="1"/>
  <c r="AD53" i="1" l="1"/>
  <c r="AD52" i="1" s="1"/>
  <c r="AD51" i="1" s="1"/>
  <c r="AD50" i="1" s="1"/>
  <c r="AD26" i="1" s="1"/>
  <c r="AG53" i="1" l="1"/>
  <c r="AB53" i="1" s="1"/>
  <c r="AB52" i="1" s="1"/>
  <c r="AB51" i="1" s="1"/>
  <c r="AB50" i="1" s="1"/>
  <c r="AB26" i="1" s="1"/>
  <c r="Y53" i="1"/>
  <c r="Y52" i="1" s="1"/>
  <c r="Y51" i="1" s="1"/>
  <c r="Y50" i="1" s="1"/>
  <c r="X52" i="1"/>
  <c r="X51" i="1" s="1"/>
  <c r="AG54" i="1"/>
  <c r="AG52" i="1" l="1"/>
  <c r="AG51" i="1" s="1"/>
  <c r="AG50" i="1" s="1"/>
  <c r="AG26" i="1" s="1"/>
  <c r="I52" i="1"/>
  <c r="I51" i="1" s="1"/>
  <c r="H52" i="1"/>
  <c r="H51" i="1" s="1"/>
  <c r="H50" i="1" s="1"/>
  <c r="H26" i="1" s="1"/>
  <c r="Y90" i="1" l="1"/>
  <c r="Y26" i="1" s="1"/>
  <c r="W57" i="1"/>
  <c r="J50" i="1" l="1"/>
  <c r="M50" i="1"/>
  <c r="W51" i="1"/>
  <c r="W50" i="1" s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AI28" i="1"/>
  <c r="AJ28" i="1"/>
  <c r="AK28" i="1"/>
  <c r="AL28" i="1"/>
  <c r="AL27" i="1" s="1"/>
  <c r="AM28" i="1"/>
  <c r="AN28" i="1"/>
  <c r="AO28" i="1"/>
  <c r="AP28" i="1"/>
  <c r="AQ28" i="1"/>
  <c r="AR28" i="1"/>
  <c r="AR27" i="1" s="1"/>
  <c r="AS28" i="1"/>
  <c r="AT28" i="1"/>
  <c r="AU28" i="1"/>
  <c r="AV28" i="1"/>
  <c r="AW28" i="1"/>
  <c r="AX28" i="1"/>
  <c r="AX27" i="1" s="1"/>
  <c r="AY28" i="1"/>
  <c r="AZ28" i="1"/>
  <c r="BA28" i="1"/>
  <c r="BB28" i="1"/>
  <c r="BC28" i="1"/>
  <c r="BD28" i="1"/>
  <c r="BD27" i="1" s="1"/>
  <c r="BE28" i="1"/>
  <c r="BF28" i="1"/>
  <c r="BG28" i="1"/>
  <c r="BH28" i="1"/>
  <c r="BI28" i="1"/>
  <c r="BJ28" i="1"/>
  <c r="BJ27" i="1" s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V27" i="1" s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S27" i="1" l="1"/>
  <c r="AU27" i="1"/>
  <c r="AI27" i="1"/>
  <c r="BG27" i="1"/>
  <c r="BO27" i="1"/>
  <c r="BI27" i="1"/>
  <c r="BC27" i="1"/>
  <c r="AQ27" i="1"/>
  <c r="BT27" i="1"/>
  <c r="BN27" i="1"/>
  <c r="BH27" i="1"/>
  <c r="BB27" i="1"/>
  <c r="AV27" i="1"/>
  <c r="AP27" i="1"/>
  <c r="BR27" i="1"/>
  <c r="BL27" i="1"/>
  <c r="BF27" i="1"/>
  <c r="AT27" i="1"/>
  <c r="AN27" i="1"/>
  <c r="BK27" i="1"/>
  <c r="AY27" i="1"/>
  <c r="AS27" i="1"/>
  <c r="AM27" i="1"/>
  <c r="BU27" i="1"/>
  <c r="BQ27" i="1"/>
  <c r="BM27" i="1"/>
  <c r="BE27" i="1"/>
  <c r="BA27" i="1"/>
  <c r="AW27" i="1"/>
  <c r="AO27" i="1"/>
  <c r="AK27" i="1"/>
  <c r="BP27" i="1"/>
  <c r="AZ27" i="1"/>
  <c r="AJ27" i="1"/>
  <c r="I50" i="1"/>
  <c r="I26" i="1" s="1"/>
  <c r="O50" i="1"/>
  <c r="O26" i="1" s="1"/>
  <c r="P51" i="1" l="1"/>
  <c r="P50" i="1" s="1"/>
  <c r="Q51" i="1"/>
  <c r="Q50" i="1" s="1"/>
  <c r="S51" i="1" l="1"/>
  <c r="S50" i="1" s="1"/>
  <c r="S26" i="1" s="1"/>
  <c r="R51" i="1"/>
  <c r="R50" i="1" s="1"/>
  <c r="R26" i="1" s="1"/>
  <c r="L50" i="1" l="1"/>
  <c r="L26" i="1" s="1"/>
  <c r="W26" i="1" l="1"/>
  <c r="AI57" i="1" l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K50" i="1" l="1"/>
  <c r="K26" i="1" s="1"/>
  <c r="T50" i="1" l="1"/>
  <c r="T26" i="1" s="1"/>
  <c r="U50" i="1" l="1"/>
  <c r="U26" i="1" s="1"/>
  <c r="X50" i="1" l="1"/>
  <c r="X26" i="1" s="1"/>
</calcChain>
</file>

<file path=xl/sharedStrings.xml><?xml version="1.0" encoding="utf-8"?>
<sst xmlns="http://schemas.openxmlformats.org/spreadsheetml/2006/main" count="2313" uniqueCount="248">
  <si>
    <t>Приложение  № 2</t>
  </si>
  <si>
    <t>к приказу Минэнерго России</t>
  </si>
  <si>
    <t>от «__» _____ 2016 г. №___</t>
  </si>
  <si>
    <t>Утверждаю</t>
  </si>
  <si>
    <t xml:space="preserve">Директор филиала </t>
  </si>
  <si>
    <t>ООО ХК "СДС-Энерго"-</t>
  </si>
  <si>
    <t>"Прокопьевскэнерго"</t>
  </si>
  <si>
    <t>__________С.М. Бутиков</t>
  </si>
  <si>
    <t>"__"_________2017 года</t>
  </si>
  <si>
    <t>Форма 2. План финансирования капитальных вложений по инвестиционным проектам</t>
  </si>
  <si>
    <t>Инвестиционная программа Общества с ограниченной ответственностью Холдинговая Компания "СДС-Энерго"</t>
  </si>
  <si>
    <t xml:space="preserve">           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</si>
  <si>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</si>
  <si>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</si>
  <si>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Текущая стадия реализации инвестиционного проекта</t>
  </si>
  <si>
    <t>Год начала 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</si>
  <si>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</si>
  <si>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</si>
  <si>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</si>
  <si>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</si>
  <si>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</si>
  <si>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</si>
  <si>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</si>
  <si>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</si>
  <si>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>Утвержденный план</t>
  </si>
  <si>
    <r>
      <t>План (Утвержденный план)</t>
    </r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
года N</t>
    </r>
    <r>
      <rPr>
        <vertAlign val="superscript"/>
        <sz val="12"/>
        <rFont val="Times New Roman"/>
        <family val="1"/>
        <charset val="204"/>
      </rPr>
      <t>3)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</si>
  <si>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
года N</t>
    </r>
  </si>
  <si>
    <r>
      <t>План (Утвержденный план)</t>
    </r>
    <r>
      <rPr>
        <vertAlign val="superscript"/>
        <sz val="12"/>
        <rFont val="Times New Roman"/>
        <family val="1"/>
        <charset val="204"/>
      </rPr>
      <t xml:space="preserve">2)  </t>
    </r>
    <r>
      <rPr>
        <sz val="12"/>
        <rFont val="Times New Roman"/>
        <family val="1"/>
        <charset val="204"/>
      </rPr>
      <t xml:space="preserve">
года (N+1)</t>
    </r>
    <r>
      <rPr>
        <vertAlign val="superscript"/>
        <sz val="12"/>
        <rFont val="Times New Roman"/>
        <family val="1"/>
        <charset val="204"/>
      </rPr>
      <t>3)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</si>
  <si>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
года (N+1)</t>
    </r>
  </si>
  <si>
    <r>
      <t>План (Утвержденный план)</t>
    </r>
    <r>
      <rPr>
        <vertAlign val="superscript"/>
        <sz val="12"/>
        <rFont val="Times New Roman"/>
        <family val="1"/>
        <charset val="204"/>
      </rPr>
      <t xml:space="preserve">2)  </t>
    </r>
    <r>
      <rPr>
        <sz val="12"/>
        <rFont val="Times New Roman"/>
        <family val="1"/>
        <charset val="204"/>
      </rPr>
      <t xml:space="preserve">
года (N+2)</t>
    </r>
    <r>
      <rPr>
        <vertAlign val="superscript"/>
        <sz val="12"/>
        <rFont val="Times New Roman"/>
        <family val="1"/>
        <charset val="204"/>
      </rPr>
      <t>3)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</si>
  <si>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
года (N+2)</t>
    </r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</si>
  <si>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</si>
  <si>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</si>
  <si>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</si>
  <si>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</si>
  <si>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</si>
  <si>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</si>
  <si>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</si>
  <si>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</si>
  <si>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r>
      <t>План 
на 01.01.года X</t>
    </r>
    <r>
      <rPr>
        <vertAlign val="superscript"/>
        <sz val="12"/>
        <rFont val="Times New Roman"/>
        <family val="1"/>
        <charset val="204"/>
      </rPr>
      <t>4)</t>
    </r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</si>
  <si>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</si>
  <si>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</si>
  <si>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</si>
  <si>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</si>
  <si>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</si>
  <si>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</si>
  <si>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</si>
  <si>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</si>
  <si>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</si>
  <si>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</si>
  <si>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</si>
  <si>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</si>
  <si>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</si>
  <si>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</si>
  <si>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</si>
  <si>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</si>
  <si>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</si>
  <si>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</si>
  <si>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</si>
  <si>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</si>
  <si>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</si>
  <si>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</si>
  <si>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</si>
  <si>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</si>
  <si>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</si>
  <si>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</si>
  <si>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</si>
  <si>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</si>
  <si>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</si>
  <si>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</si>
  <si>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</si>
  <si>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</si>
  <si>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</si>
  <si>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</si>
  <si>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</si>
  <si>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</si>
  <si>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</si>
  <si>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</si>
  <si>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</si>
  <si>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</si>
  <si>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</si>
  <si>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</si>
  <si>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</si>
  <si>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</si>
  <si>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</si>
  <si>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</si>
  <si>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</si>
  <si>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</si>
  <si>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</si>
  <si>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</si>
  <si>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</si>
  <si>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</si>
  <si>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</si>
  <si>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</si>
  <si>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</si>
  <si>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</si>
  <si>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</si>
  <si>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</si>
  <si>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</si>
  <si>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</si>
  <si>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</si>
  <si>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</si>
  <si>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</si>
  <si>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</si>
  <si>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</si>
  <si>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</si>
  <si>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</si>
  <si>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</si>
  <si>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</si>
  <si>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</si>
  <si>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</si>
  <si>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</si>
  <si>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</si>
  <si>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</si>
  <si>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</si>
  <si>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</si>
  <si>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</si>
  <si>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</si>
  <si>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</si>
  <si>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</si>
  <si>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</si>
  <si>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</si>
  <si>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</si>
  <si>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</si>
  <si>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</si>
  <si>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</si>
  <si>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</si>
  <si>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</si>
  <si>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</si>
  <si>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</si>
  <si>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</si>
  <si>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</si>
  <si>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</si>
  <si>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</si>
  <si>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</si>
  <si>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</si>
  <si>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</si>
  <si>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</si>
  <si>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</si>
  <si>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</si>
  <si>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</si>
  <si>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</si>
  <si>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</si>
  <si>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</si>
  <si>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</si>
  <si>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</si>
  <si>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</si>
  <si>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</si>
  <si>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</si>
  <si>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</si>
  <si>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</si>
  <si>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</si>
  <si>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</si>
  <si>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</si>
  <si>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</si>
  <si>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</si>
  <si>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</si>
  <si>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</si>
  <si>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</si>
  <si>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</si>
  <si>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</si>
  <si>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нд</t>
  </si>
  <si>
    <t>1.2.1.1.1</t>
  </si>
  <si>
    <t>1.2.1.1.2</t>
  </si>
  <si>
    <t>Кемеровская область</t>
  </si>
  <si>
    <t>1.6.3</t>
  </si>
  <si>
    <t>Н</t>
  </si>
  <si>
    <t>Г</t>
  </si>
  <si>
    <t>П</t>
  </si>
  <si>
    <t xml:space="preserve">Остаток финансирования капитальных вложений в прогнозных ценах соответствующих лет,  
млн рублей 
(с НДС) </t>
  </si>
  <si>
    <t>реквизиты решения органа исполнительной власти, утвердившего инвестиционную программу</t>
  </si>
  <si>
    <t>Год окончания реализации инвестиционного проекта</t>
  </si>
  <si>
    <t>Финансирование капитальных вложений на 2019
года в прогнозных ценах, млн рублей (с НДС)</t>
  </si>
  <si>
    <t>I_1.2.1.1.1</t>
  </si>
  <si>
    <t>I_1.2.1.1.2</t>
  </si>
  <si>
    <t>I_1.2.1.1.3</t>
  </si>
  <si>
    <t>1.2.1.1.6</t>
  </si>
  <si>
    <t>ПС №2</t>
  </si>
  <si>
    <t>I_1.2.1.2.1</t>
  </si>
  <si>
    <t>ПС №8</t>
  </si>
  <si>
    <t>I_1.2.1.2.2</t>
  </si>
  <si>
    <t>ПС №9</t>
  </si>
  <si>
    <t>I_1.2.1.2.3</t>
  </si>
  <si>
    <t>ПС №14</t>
  </si>
  <si>
    <t>I_1.2.1.2.4</t>
  </si>
  <si>
    <t>ПС №20</t>
  </si>
  <si>
    <t>I_1.2.1.2.5</t>
  </si>
  <si>
    <t>ПС №26</t>
  </si>
  <si>
    <t>I_1.2.1.2.6</t>
  </si>
  <si>
    <t>ПС "Танай"</t>
  </si>
  <si>
    <t>I_1.2.1.2.7</t>
  </si>
  <si>
    <t>ПС №33</t>
  </si>
  <si>
    <t>I_1.2.1.2.8</t>
  </si>
  <si>
    <t>ПС №41</t>
  </si>
  <si>
    <t>I_1.2.1.2.9</t>
  </si>
  <si>
    <t>ПС №42</t>
  </si>
  <si>
    <t>I_1.2.1.2.10</t>
  </si>
  <si>
    <t>1.6.5</t>
  </si>
  <si>
    <t>1.6.6</t>
  </si>
  <si>
    <t>I_1.6.2</t>
  </si>
  <si>
    <t>I_1.6.3</t>
  </si>
  <si>
    <t>Реконструкция РУ 6 кВ ПС 35/6 кВ № 41 (ПИР - 2016, СМР, ввод - 2019)</t>
  </si>
  <si>
    <t>Реконструкция подстанции ПС 110/10 кВ "Керамзитовая", 2 этап (замена комплектов отделитель-короткозамыкатель на элегазовые выключатели 110 кВ, замена разъединителей 110кВ и установка УКРМ-10 кВ (СМР, ввод - 2019)</t>
  </si>
  <si>
    <t>Реконструкция системы оперативного тока устройств РЗиА в составе: щит постоянного тока, аккумуляторная батарея и зарядное устройство на ПС 110/6 кВ «АЗОТ-3»(СМР, ввод - 2019)</t>
  </si>
  <si>
    <t>Приобретение комплекса для проверки первичного и вторичного электрооборудования в составе: устройство испытательное РЕТОМ-25, трансформатор нагрузочный РЕТ-3000 с аксессуарами  (ввод - 2019)</t>
  </si>
  <si>
    <t>Замена отработавших свой срок трансформаторов собственных нужд ТМ-160 кВА 6/0,4 кВ на новые на подстанции 110/35/6 кВ №37 - 2 шт. (СМР, ввод - 2019)</t>
  </si>
  <si>
    <t>янв.2018г.</t>
  </si>
  <si>
    <t>Выполнение работ по созданию автоматизированной системы технологического управления центра управления сетями (АСТУ ЦУС) 3-й этап - Монтаж оборудования на ПС №№ 2, 8, 9, 14, 20н, 26, Танай, 33, 41, 42 и подключение к АСТУ ЦУС (ПИР - 2018г, СМР, ввод - 2019)</t>
  </si>
  <si>
    <t>фев.2018г.</t>
  </si>
  <si>
    <t>1.2.1.2.1</t>
  </si>
  <si>
    <t>1.2.1.2.1.1</t>
  </si>
  <si>
    <t>1.2.1.2.1.2</t>
  </si>
  <si>
    <t>1.2.1.2.1.3</t>
  </si>
  <si>
    <t>1.2.1.2.1.4</t>
  </si>
  <si>
    <t>1.2.1.2.1.5</t>
  </si>
  <si>
    <t>1.2.1.2.1.6</t>
  </si>
  <si>
    <t>1.2.1.2.1.7</t>
  </si>
  <si>
    <t>1.2.1.2.1.8</t>
  </si>
  <si>
    <t>1.2.1.2.1.9</t>
  </si>
  <si>
    <t>1.2.1.2.1.10</t>
  </si>
  <si>
    <t>Идентификатор инвестиционного проекта</t>
  </si>
  <si>
    <t>1.1.1.3.1</t>
  </si>
  <si>
    <t>1.1.1.3.2</t>
  </si>
  <si>
    <t>I_1.1.1.3.2</t>
  </si>
  <si>
    <t>I_1.1.1.3.3</t>
  </si>
  <si>
    <t>С</t>
  </si>
  <si>
    <t>Строительство ПС 110/35/6 кВ Центральная с отпайкой от ВЛ-110-КНК-1,2 (ПИР-2018г; СМР, ввод-2019г.)</t>
  </si>
  <si>
    <t>1.2.1.1.7</t>
  </si>
  <si>
    <t>Реконструкция щита 0,4 кВ ПС 6/0,4 кВ №32 (ПИР - 2012, СМР, ввод - 2019)</t>
  </si>
  <si>
    <t>I_1.2.1.1.4</t>
  </si>
  <si>
    <t>Строительство ПС 35 кВ Весенняя и ВЛ 35 кВ Вольная-Весенняя-1,2 (ПИР, СМР, ввод-2019г.)</t>
  </si>
  <si>
    <t>авг.2018г.</t>
  </si>
  <si>
    <t>1.1.4.1.1</t>
  </si>
  <si>
    <t>I_1.1.4.1.1</t>
  </si>
  <si>
    <t>Строительство ВЛ 110 кВ Соколовская-Вольная-2 (ПИР, СМР, ввод-2019г.)</t>
  </si>
  <si>
    <t>Утвержденные плановые значения показателей приведены в соответствии с  Постановлением Региональной энергетической комиссии Кемеровской области №324 от 31.10.2018 г.</t>
  </si>
  <si>
    <t>нл</t>
  </si>
  <si>
    <t>1.2.2.2.1</t>
  </si>
  <si>
    <t>Дооборудование ПС 110/35/6 кВ "Вольная" кабельной линией 35 кВ до линейных порталов (СМР, ввод - 2019)</t>
  </si>
  <si>
    <t>J_1.2.2.2.1</t>
  </si>
  <si>
    <t xml:space="preserve">Фактический объем финансирования на 01.01.2019 года, млн рублей 
(с НДС) </t>
  </si>
  <si>
    <t>Приобретение ПС 35/6 кВ "ОГР"</t>
  </si>
  <si>
    <t>J_1.6.4</t>
  </si>
  <si>
    <t>янв.2019г.</t>
  </si>
  <si>
    <t xml:space="preserve">План 
на 01.01.2019 года </t>
  </si>
  <si>
    <t>Предложение по корректировке утвержденного плана на 01.01.2019года</t>
  </si>
  <si>
    <t>Для обеспечения питания ШУ "Майское"</t>
  </si>
  <si>
    <t>В связи с измением оперативной обстановки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</si>
</sst>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00000"/>
    <numFmt numFmtId="166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vertical="center"/>
    </xf>
    <xf numFmtId="0" fontId="3" fillId="0" borderId="0" xfId="1" applyFont="1" applyFill="1" applyAlignment="1"/>
    <xf numFmtId="0" fontId="2" fillId="0" borderId="0" xfId="1" applyFont="1" applyFill="1" applyAlignment="1"/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12" xfId="1" applyFont="1" applyFill="1" applyBorder="1" applyAlignment="1">
      <alignment horizontal="center" vertical="center" textRotation="90" wrapText="1"/>
    </xf>
    <xf numFmtId="0" fontId="2" fillId="0" borderId="15" xfId="1" applyFont="1" applyFill="1" applyBorder="1" applyAlignment="1">
      <alignment horizontal="center" vertical="center" textRotation="90" wrapText="1"/>
    </xf>
    <xf numFmtId="0" fontId="2" fillId="0" borderId="9" xfId="1" applyFont="1" applyFill="1" applyBorder="1" applyAlignment="1">
      <alignment horizontal="center" vertical="center" textRotation="90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/>
    </xf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 textRotation="90" wrapText="1"/>
    </xf>
    <xf numFmtId="0" fontId="4" fillId="0" borderId="0" xfId="2" applyFont="1" applyFill="1" applyAlignment="1">
      <alignment vertical="center"/>
    </xf>
    <xf numFmtId="0" fontId="2" fillId="0" borderId="0" xfId="2" applyFont="1" applyFill="1" applyAlignment="1">
      <alignment vertical="top"/>
    </xf>
    <xf numFmtId="164" fontId="2" fillId="0" borderId="0" xfId="1" applyNumberFormat="1" applyFont="1" applyFill="1"/>
    <xf numFmtId="166" fontId="2" fillId="0" borderId="0" xfId="1" applyNumberFormat="1" applyFont="1" applyFill="1"/>
    <xf numFmtId="165" fontId="2" fillId="0" borderId="0" xfId="1" applyNumberFormat="1" applyFont="1" applyFill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center" vertical="center" wrapText="1"/>
    </xf>
    <xf numFmtId="17" fontId="2" fillId="0" borderId="3" xfId="2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164" fontId="2" fillId="0" borderId="4" xfId="2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64" fontId="2" fillId="0" borderId="2" xfId="2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4" fillId="0" borderId="0" xfId="1" applyFont="1" applyFill="1" applyAlignment="1">
      <alignment horizontal="center"/>
    </xf>
    <xf numFmtId="0" fontId="8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top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2" defaultPivotStyle="PivotStyleMedium9"/>
  <colors>
    <mruColors>
      <color rgb="FFFFCC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3"/>
  <sheetViews>
    <sheetView tabSelected="1" view="pageBreakPreview" topLeftCell="A12" zoomScale="60" zoomScaleNormal="100" workbookViewId="0">
      <pane xSplit="2" ySplit="13" topLeftCell="AA28" activePane="bottomRight" state="frozen"/>
      <selection activeCell="A12" sqref="A12"/>
      <selection pane="topRight" activeCell="C12" sqref="C12"/>
      <selection pane="bottomLeft" activeCell="A25" sqref="A25"/>
      <selection pane="bottomRight" activeCell="AF32" sqref="AF32"/>
    </sheetView>
  </sheetViews>
  <sheetFormatPr defaultRowHeight="15.75" x14ac:dyDescent="0.25"/>
  <cols>
    <col min="1" max="1" width="13.140625" style="1" customWidth="1"/>
    <col min="2" max="2" width="45.5703125" style="1" customWidth="1"/>
    <col min="3" max="3" width="11.85546875" style="1" customWidth="1"/>
    <col min="4" max="4" width="10.7109375" style="1" customWidth="1"/>
    <col min="5" max="5" width="10.42578125" style="1" customWidth="1"/>
    <col min="6" max="6" width="9" style="1" customWidth="1"/>
    <col min="7" max="7" width="15.140625" style="1" customWidth="1"/>
    <col min="8" max="8" width="12.7109375" style="1" customWidth="1"/>
    <col min="9" max="9" width="22" style="1" customWidth="1"/>
    <col min="10" max="10" width="13.5703125" style="1" customWidth="1"/>
    <col min="11" max="11" width="12.28515625" style="1" customWidth="1"/>
    <col min="12" max="12" width="23.42578125" style="1" customWidth="1"/>
    <col min="13" max="13" width="13" style="1" customWidth="1"/>
    <col min="14" max="14" width="10.28515625" style="1" customWidth="1"/>
    <col min="15" max="15" width="11.140625" style="1" customWidth="1"/>
    <col min="16" max="16" width="12" style="1" customWidth="1"/>
    <col min="17" max="17" width="16" style="1" customWidth="1"/>
    <col min="18" max="18" width="11.85546875" style="1" customWidth="1"/>
    <col min="19" max="19" width="15.85546875" style="1" customWidth="1"/>
    <col min="20" max="20" width="11.5703125" style="1" customWidth="1"/>
    <col min="21" max="21" width="14.140625" style="1" customWidth="1"/>
    <col min="22" max="22" width="11.85546875" style="1" customWidth="1"/>
    <col min="23" max="23" width="1.140625" style="1" hidden="1" customWidth="1"/>
    <col min="24" max="24" width="15.85546875" style="1" customWidth="1"/>
    <col min="25" max="25" width="13.28515625" style="1" customWidth="1"/>
    <col min="26" max="26" width="8.42578125" style="1" customWidth="1"/>
    <col min="27" max="27" width="15.85546875" style="1" customWidth="1"/>
    <col min="28" max="28" width="22.7109375" style="1" customWidth="1"/>
    <col min="29" max="29" width="10.7109375" style="1" customWidth="1"/>
    <col min="30" max="30" width="13.28515625" style="1" customWidth="1"/>
    <col min="31" max="31" width="10.140625" style="1" customWidth="1"/>
    <col min="32" max="32" width="17.5703125" style="1" customWidth="1"/>
    <col min="33" max="33" width="22.140625" style="1" customWidth="1"/>
    <col min="34" max="34" width="11.140625" style="1" customWidth="1"/>
    <col min="35" max="35" width="9" style="1" hidden="1" customWidth="1"/>
    <col min="36" max="36" width="7.42578125" style="1" hidden="1" customWidth="1"/>
    <col min="37" max="37" width="10.140625" style="1" hidden="1" customWidth="1"/>
    <col min="38" max="38" width="12.28515625" style="1" hidden="1" customWidth="1"/>
    <col min="39" max="39" width="6.85546875" style="1" hidden="1" customWidth="1"/>
    <col min="40" max="40" width="9.5703125" style="1" hidden="1" customWidth="1"/>
    <col min="41" max="41" width="6.42578125" style="1" hidden="1" customWidth="1"/>
    <col min="42" max="42" width="9.85546875" style="1" hidden="1" customWidth="1"/>
    <col min="43" max="43" width="11.7109375" style="1" hidden="1" customWidth="1"/>
    <col min="44" max="44" width="7.7109375" style="1" hidden="1" customWidth="1"/>
    <col min="45" max="45" width="10.28515625" style="1" hidden="1" customWidth="1"/>
    <col min="46" max="46" width="7" style="1" hidden="1" customWidth="1"/>
    <col min="47" max="47" width="10.140625" style="1" hidden="1" customWidth="1"/>
    <col min="48" max="48" width="11.85546875" style="1" hidden="1" customWidth="1"/>
    <col min="49" max="49" width="9" style="1" hidden="1" customWidth="1"/>
    <col min="50" max="51" width="8.28515625" style="1" hidden="1" customWidth="1"/>
    <col min="52" max="52" width="10.5703125" style="1" hidden="1" customWidth="1"/>
    <col min="53" max="53" width="11.140625" style="1" hidden="1" customWidth="1"/>
    <col min="54" max="56" width="8.28515625" style="1" hidden="1" customWidth="1"/>
    <col min="57" max="57" width="10" style="1" hidden="1" customWidth="1"/>
    <col min="58" max="58" width="11.140625" style="1" hidden="1" customWidth="1"/>
    <col min="59" max="61" width="8.28515625" style="1" hidden="1" customWidth="1"/>
    <col min="62" max="62" width="9.85546875" style="1" hidden="1" customWidth="1"/>
    <col min="63" max="63" width="11.7109375" style="1" hidden="1" customWidth="1"/>
    <col min="64" max="64" width="8.28515625" style="1" hidden="1" customWidth="1"/>
    <col min="65" max="65" width="9.42578125" style="1" hidden="1" customWidth="1"/>
    <col min="66" max="66" width="7" style="1" hidden="1" customWidth="1"/>
    <col min="67" max="67" width="10.85546875" style="1" hidden="1" customWidth="1"/>
    <col min="68" max="68" width="12.85546875" style="1" hidden="1" customWidth="1"/>
    <col min="69" max="69" width="8.42578125" style="1" hidden="1" customWidth="1"/>
    <col min="70" max="70" width="9.140625" style="1" hidden="1" customWidth="1"/>
    <col min="71" max="71" width="6.7109375" style="1" hidden="1" customWidth="1"/>
    <col min="72" max="72" width="10.7109375" style="1" hidden="1" customWidth="1"/>
    <col min="73" max="73" width="11.85546875" style="1" hidden="1" customWidth="1"/>
    <col min="74" max="74" width="8.140625" style="1" hidden="1" customWidth="1"/>
    <col min="75" max="75" width="23.7109375" style="1" customWidth="1"/>
    <col min="76" max="16384" width="9.140625" style="1"/>
  </cols>
  <sheetData>
    <row r="1" spans="1:75" ht="18.75" hidden="1" x14ac:dyDescent="0.25">
      <c r="X1" s="14"/>
      <c r="BW1" s="14" t="s">
        <v>0</v>
      </c>
    </row>
    <row r="2" spans="1:75" ht="18.75" hidden="1" x14ac:dyDescent="0.3">
      <c r="X2" s="15"/>
      <c r="BW2" s="15" t="s">
        <v>1</v>
      </c>
    </row>
    <row r="3" spans="1:75" ht="18.75" hidden="1" x14ac:dyDescent="0.3">
      <c r="X3" s="15"/>
      <c r="BW3" s="15" t="s">
        <v>2</v>
      </c>
    </row>
    <row r="4" spans="1:75" ht="18.75" hidden="1" x14ac:dyDescent="0.3">
      <c r="X4" s="15"/>
      <c r="AF4" s="15"/>
    </row>
    <row r="5" spans="1:75" ht="18.75" hidden="1" x14ac:dyDescent="0.3">
      <c r="X5" s="15"/>
      <c r="AF5" s="15"/>
      <c r="AG5" s="2"/>
      <c r="AH5" s="2" t="s">
        <v>3</v>
      </c>
    </row>
    <row r="6" spans="1:75" ht="18.75" hidden="1" x14ac:dyDescent="0.3">
      <c r="X6" s="15"/>
      <c r="AF6" s="15"/>
      <c r="AG6" s="2"/>
      <c r="AH6" s="2" t="s">
        <v>4</v>
      </c>
    </row>
    <row r="7" spans="1:75" ht="18.75" hidden="1" x14ac:dyDescent="0.3">
      <c r="X7" s="15"/>
      <c r="AF7" s="15"/>
      <c r="AG7" s="2"/>
      <c r="AH7" s="2" t="s">
        <v>5</v>
      </c>
    </row>
    <row r="8" spans="1:75" ht="18.75" hidden="1" x14ac:dyDescent="0.3">
      <c r="X8" s="15"/>
      <c r="AF8" s="15"/>
      <c r="AG8" s="2"/>
      <c r="AH8" s="2" t="s">
        <v>6</v>
      </c>
    </row>
    <row r="9" spans="1:75" ht="18.75" hidden="1" x14ac:dyDescent="0.3">
      <c r="X9" s="15"/>
      <c r="AF9" s="15"/>
      <c r="AG9" s="2"/>
      <c r="AH9" s="2" t="s">
        <v>7</v>
      </c>
    </row>
    <row r="10" spans="1:75" ht="18.75" hidden="1" x14ac:dyDescent="0.3">
      <c r="X10" s="15"/>
      <c r="AF10" s="15"/>
      <c r="AG10" s="2"/>
      <c r="AH10" s="2"/>
    </row>
    <row r="11" spans="1:75" ht="18.75" hidden="1" x14ac:dyDescent="0.3">
      <c r="X11" s="15"/>
      <c r="AF11" s="15"/>
      <c r="AG11" s="2"/>
      <c r="AH11" s="2" t="s">
        <v>8</v>
      </c>
    </row>
    <row r="12" spans="1:75" ht="18.75" x14ac:dyDescent="0.25">
      <c r="A12" s="75" t="s">
        <v>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</row>
    <row r="13" spans="1:75" ht="18.75" x14ac:dyDescent="0.3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</row>
    <row r="14" spans="1:75" ht="18.75" x14ac:dyDescent="0.25">
      <c r="A14" s="80" t="s">
        <v>10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</row>
    <row r="15" spans="1:75" ht="18.75" customHeight="1" x14ac:dyDescent="0.25">
      <c r="A15" s="81" t="s">
        <v>11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</row>
    <row r="16" spans="1:75" ht="18.75" x14ac:dyDescent="0.3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BW16" s="15"/>
    </row>
    <row r="17" spans="1:75" ht="18.75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ht="18.75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</row>
    <row r="19" spans="1:75" ht="18.75" x14ac:dyDescent="0.3">
      <c r="A19" s="76" t="s">
        <v>235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x14ac:dyDescent="0.25">
      <c r="A20" s="77" t="s">
        <v>170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1:75" ht="35.25" customHeight="1" x14ac:dyDescent="0.25">
      <c r="K21" s="21"/>
      <c r="L21" s="21"/>
      <c r="O21" s="21"/>
      <c r="U21" s="21"/>
      <c r="V21" s="23"/>
      <c r="X21" s="21"/>
      <c r="Y21" s="22"/>
      <c r="AD21" s="22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</row>
    <row r="22" spans="1:75" ht="66" customHeight="1" x14ac:dyDescent="0.25">
      <c r="A22" s="65" t="s">
        <v>12</v>
      </c>
      <c r="B22" s="65" t="s">
        <v>13</v>
      </c>
      <c r="C22" s="65" t="s">
        <v>220</v>
      </c>
      <c r="D22" s="65" t="s">
        <v>14</v>
      </c>
      <c r="E22" s="65" t="s">
        <v>15</v>
      </c>
      <c r="F22" s="65" t="s">
        <v>171</v>
      </c>
      <c r="G22" s="65"/>
      <c r="H22" s="65" t="s">
        <v>16</v>
      </c>
      <c r="I22" s="65"/>
      <c r="J22" s="65"/>
      <c r="K22" s="65"/>
      <c r="L22" s="65"/>
      <c r="M22" s="65"/>
      <c r="N22" s="66" t="s">
        <v>17</v>
      </c>
      <c r="O22" s="66" t="s">
        <v>240</v>
      </c>
      <c r="P22" s="65" t="s">
        <v>18</v>
      </c>
      <c r="Q22" s="65"/>
      <c r="R22" s="65"/>
      <c r="S22" s="65"/>
      <c r="T22" s="65" t="s">
        <v>19</v>
      </c>
      <c r="U22" s="65"/>
      <c r="V22" s="69" t="s">
        <v>169</v>
      </c>
      <c r="W22" s="70"/>
      <c r="X22" s="71"/>
      <c r="Y22" s="65" t="s">
        <v>172</v>
      </c>
      <c r="Z22" s="65"/>
      <c r="AA22" s="65"/>
      <c r="AB22" s="65"/>
      <c r="AC22" s="65"/>
      <c r="AD22" s="65"/>
      <c r="AE22" s="65"/>
      <c r="AF22" s="65"/>
      <c r="AG22" s="65"/>
      <c r="AH22" s="65"/>
      <c r="AI22" s="65" t="s">
        <v>20</v>
      </c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6" t="s">
        <v>21</v>
      </c>
    </row>
    <row r="23" spans="1:75" ht="48" customHeight="1" x14ac:dyDescent="0.25">
      <c r="A23" s="65"/>
      <c r="B23" s="65"/>
      <c r="C23" s="65"/>
      <c r="D23" s="65"/>
      <c r="E23" s="65"/>
      <c r="F23" s="65"/>
      <c r="G23" s="65"/>
      <c r="H23" s="61" t="s">
        <v>22</v>
      </c>
      <c r="I23" s="62"/>
      <c r="J23" s="63"/>
      <c r="K23" s="72" t="s">
        <v>23</v>
      </c>
      <c r="L23" s="73"/>
      <c r="M23" s="74"/>
      <c r="N23" s="67"/>
      <c r="O23" s="67"/>
      <c r="P23" s="65" t="s">
        <v>22</v>
      </c>
      <c r="Q23" s="65"/>
      <c r="R23" s="65" t="s">
        <v>23</v>
      </c>
      <c r="S23" s="65"/>
      <c r="T23" s="65"/>
      <c r="U23" s="65"/>
      <c r="V23" s="72"/>
      <c r="W23" s="73"/>
      <c r="X23" s="74"/>
      <c r="Y23" s="65" t="s">
        <v>24</v>
      </c>
      <c r="Z23" s="65"/>
      <c r="AA23" s="65"/>
      <c r="AB23" s="65"/>
      <c r="AC23" s="65"/>
      <c r="AD23" s="65" t="s">
        <v>23</v>
      </c>
      <c r="AE23" s="65"/>
      <c r="AF23" s="65"/>
      <c r="AG23" s="65"/>
      <c r="AH23" s="65"/>
      <c r="AI23" s="61" t="s">
        <v>25</v>
      </c>
      <c r="AJ23" s="62"/>
      <c r="AK23" s="62"/>
      <c r="AL23" s="62"/>
      <c r="AM23" s="63"/>
      <c r="AN23" s="61" t="s">
        <v>26</v>
      </c>
      <c r="AO23" s="62"/>
      <c r="AP23" s="62"/>
      <c r="AQ23" s="62"/>
      <c r="AR23" s="63"/>
      <c r="AS23" s="61" t="s">
        <v>27</v>
      </c>
      <c r="AT23" s="62"/>
      <c r="AU23" s="62"/>
      <c r="AV23" s="62"/>
      <c r="AW23" s="63"/>
      <c r="AX23" s="61" t="s">
        <v>28</v>
      </c>
      <c r="AY23" s="62"/>
      <c r="AZ23" s="62"/>
      <c r="BA23" s="62"/>
      <c r="BB23" s="63"/>
      <c r="BC23" s="61" t="s">
        <v>29</v>
      </c>
      <c r="BD23" s="62"/>
      <c r="BE23" s="62"/>
      <c r="BF23" s="62"/>
      <c r="BG23" s="63"/>
      <c r="BH23" s="61" t="s">
        <v>30</v>
      </c>
      <c r="BI23" s="62"/>
      <c r="BJ23" s="62"/>
      <c r="BK23" s="62"/>
      <c r="BL23" s="62"/>
      <c r="BM23" s="64" t="s">
        <v>31</v>
      </c>
      <c r="BN23" s="62"/>
      <c r="BO23" s="62"/>
      <c r="BP23" s="62"/>
      <c r="BQ23" s="63"/>
      <c r="BR23" s="61" t="s">
        <v>32</v>
      </c>
      <c r="BS23" s="62"/>
      <c r="BT23" s="62"/>
      <c r="BU23" s="62"/>
      <c r="BV23" s="63"/>
      <c r="BW23" s="67"/>
    </row>
    <row r="24" spans="1:75" ht="95.25" customHeight="1" x14ac:dyDescent="0.25">
      <c r="A24" s="65"/>
      <c r="B24" s="65"/>
      <c r="C24" s="65"/>
      <c r="D24" s="65"/>
      <c r="E24" s="65"/>
      <c r="F24" s="36" t="s">
        <v>33</v>
      </c>
      <c r="G24" s="36" t="s">
        <v>23</v>
      </c>
      <c r="H24" s="33" t="s">
        <v>34</v>
      </c>
      <c r="I24" s="33" t="s">
        <v>35</v>
      </c>
      <c r="J24" s="33" t="s">
        <v>36</v>
      </c>
      <c r="K24" s="33" t="s">
        <v>34</v>
      </c>
      <c r="L24" s="33" t="s">
        <v>35</v>
      </c>
      <c r="M24" s="33" t="s">
        <v>36</v>
      </c>
      <c r="N24" s="68"/>
      <c r="O24" s="68"/>
      <c r="P24" s="59" t="s">
        <v>37</v>
      </c>
      <c r="Q24" s="59" t="s">
        <v>38</v>
      </c>
      <c r="R24" s="59" t="s">
        <v>37</v>
      </c>
      <c r="S24" s="59" t="s">
        <v>38</v>
      </c>
      <c r="T24" s="35" t="s">
        <v>22</v>
      </c>
      <c r="U24" s="35" t="s">
        <v>23</v>
      </c>
      <c r="V24" s="33" t="s">
        <v>244</v>
      </c>
      <c r="W24" s="33" t="s">
        <v>39</v>
      </c>
      <c r="X24" s="33" t="s">
        <v>245</v>
      </c>
      <c r="Y24" s="33" t="s">
        <v>40</v>
      </c>
      <c r="Z24" s="33" t="s">
        <v>41</v>
      </c>
      <c r="AA24" s="33" t="s">
        <v>42</v>
      </c>
      <c r="AB24" s="35" t="s">
        <v>43</v>
      </c>
      <c r="AC24" s="35" t="s">
        <v>44</v>
      </c>
      <c r="AD24" s="33" t="s">
        <v>40</v>
      </c>
      <c r="AE24" s="33" t="s">
        <v>41</v>
      </c>
      <c r="AF24" s="33" t="s">
        <v>42</v>
      </c>
      <c r="AG24" s="35" t="s">
        <v>43</v>
      </c>
      <c r="AH24" s="35" t="s">
        <v>44</v>
      </c>
      <c r="AI24" s="6" t="s">
        <v>40</v>
      </c>
      <c r="AJ24" s="6" t="s">
        <v>41</v>
      </c>
      <c r="AK24" s="6" t="s">
        <v>42</v>
      </c>
      <c r="AL24" s="7" t="s">
        <v>43</v>
      </c>
      <c r="AM24" s="7" t="s">
        <v>44</v>
      </c>
      <c r="AN24" s="6" t="s">
        <v>40</v>
      </c>
      <c r="AO24" s="6" t="s">
        <v>41</v>
      </c>
      <c r="AP24" s="6" t="s">
        <v>42</v>
      </c>
      <c r="AQ24" s="7" t="s">
        <v>43</v>
      </c>
      <c r="AR24" s="7" t="s">
        <v>44</v>
      </c>
      <c r="AS24" s="6" t="s">
        <v>40</v>
      </c>
      <c r="AT24" s="6" t="s">
        <v>41</v>
      </c>
      <c r="AU24" s="6" t="s">
        <v>42</v>
      </c>
      <c r="AV24" s="7" t="s">
        <v>43</v>
      </c>
      <c r="AW24" s="7" t="s">
        <v>44</v>
      </c>
      <c r="AX24" s="6" t="s">
        <v>40</v>
      </c>
      <c r="AY24" s="6" t="s">
        <v>41</v>
      </c>
      <c r="AZ24" s="6" t="s">
        <v>42</v>
      </c>
      <c r="BA24" s="7" t="s">
        <v>43</v>
      </c>
      <c r="BB24" s="7" t="s">
        <v>44</v>
      </c>
      <c r="BC24" s="6" t="s">
        <v>40</v>
      </c>
      <c r="BD24" s="6" t="s">
        <v>41</v>
      </c>
      <c r="BE24" s="6" t="s">
        <v>42</v>
      </c>
      <c r="BF24" s="7" t="s">
        <v>43</v>
      </c>
      <c r="BG24" s="7" t="s">
        <v>44</v>
      </c>
      <c r="BH24" s="6" t="s">
        <v>40</v>
      </c>
      <c r="BI24" s="6" t="s">
        <v>41</v>
      </c>
      <c r="BJ24" s="6" t="s">
        <v>42</v>
      </c>
      <c r="BK24" s="7" t="s">
        <v>43</v>
      </c>
      <c r="BL24" s="8" t="s">
        <v>44</v>
      </c>
      <c r="BM24" s="9" t="s">
        <v>40</v>
      </c>
      <c r="BN24" s="6" t="s">
        <v>41</v>
      </c>
      <c r="BO24" s="6" t="s">
        <v>42</v>
      </c>
      <c r="BP24" s="7" t="s">
        <v>43</v>
      </c>
      <c r="BQ24" s="7" t="s">
        <v>44</v>
      </c>
      <c r="BR24" s="6" t="s">
        <v>40</v>
      </c>
      <c r="BS24" s="6" t="s">
        <v>41</v>
      </c>
      <c r="BT24" s="6" t="s">
        <v>42</v>
      </c>
      <c r="BU24" s="7" t="s">
        <v>43</v>
      </c>
      <c r="BV24" s="6" t="s">
        <v>44</v>
      </c>
      <c r="BW24" s="68"/>
    </row>
    <row r="25" spans="1:75" ht="19.5" customHeight="1" x14ac:dyDescent="0.25">
      <c r="A25" s="33">
        <v>1</v>
      </c>
      <c r="B25" s="33">
        <v>2</v>
      </c>
      <c r="C25" s="33">
        <v>3</v>
      </c>
      <c r="D25" s="33">
        <v>4</v>
      </c>
      <c r="E25" s="33">
        <v>5</v>
      </c>
      <c r="F25" s="33">
        <v>6</v>
      </c>
      <c r="G25" s="33">
        <v>7</v>
      </c>
      <c r="H25" s="33">
        <v>8</v>
      </c>
      <c r="I25" s="33">
        <v>9</v>
      </c>
      <c r="J25" s="33">
        <v>10</v>
      </c>
      <c r="K25" s="33">
        <v>11</v>
      </c>
      <c r="L25" s="33">
        <v>12</v>
      </c>
      <c r="M25" s="33">
        <v>13</v>
      </c>
      <c r="N25" s="33">
        <v>14</v>
      </c>
      <c r="O25" s="33">
        <v>15</v>
      </c>
      <c r="P25" s="10" t="s">
        <v>45</v>
      </c>
      <c r="Q25" s="60" t="s">
        <v>46</v>
      </c>
      <c r="R25" s="10" t="s">
        <v>47</v>
      </c>
      <c r="S25" s="60" t="s">
        <v>48</v>
      </c>
      <c r="T25" s="33">
        <v>17</v>
      </c>
      <c r="U25" s="33">
        <v>18</v>
      </c>
      <c r="V25" s="33">
        <v>19</v>
      </c>
      <c r="W25" s="33">
        <v>20</v>
      </c>
      <c r="X25" s="33">
        <v>21</v>
      </c>
      <c r="Y25" s="33">
        <v>22</v>
      </c>
      <c r="Z25" s="33">
        <v>23</v>
      </c>
      <c r="AA25" s="33">
        <v>24</v>
      </c>
      <c r="AB25" s="33">
        <v>25</v>
      </c>
      <c r="AC25" s="33">
        <v>26</v>
      </c>
      <c r="AD25" s="33">
        <v>27</v>
      </c>
      <c r="AE25" s="33">
        <v>28</v>
      </c>
      <c r="AF25" s="33">
        <v>29</v>
      </c>
      <c r="AG25" s="33">
        <v>30</v>
      </c>
      <c r="AH25" s="33">
        <v>31</v>
      </c>
      <c r="AI25" s="10" t="s">
        <v>49</v>
      </c>
      <c r="AJ25" s="10" t="s">
        <v>50</v>
      </c>
      <c r="AK25" s="10" t="s">
        <v>51</v>
      </c>
      <c r="AL25" s="10" t="s">
        <v>52</v>
      </c>
      <c r="AM25" s="10" t="s">
        <v>53</v>
      </c>
      <c r="AN25" s="10" t="s">
        <v>54</v>
      </c>
      <c r="AO25" s="10" t="s">
        <v>55</v>
      </c>
      <c r="AP25" s="10" t="s">
        <v>56</v>
      </c>
      <c r="AQ25" s="10" t="s">
        <v>57</v>
      </c>
      <c r="AR25" s="10" t="s">
        <v>58</v>
      </c>
      <c r="AS25" s="10" t="s">
        <v>59</v>
      </c>
      <c r="AT25" s="10" t="s">
        <v>60</v>
      </c>
      <c r="AU25" s="10" t="s">
        <v>61</v>
      </c>
      <c r="AV25" s="10" t="s">
        <v>62</v>
      </c>
      <c r="AW25" s="10" t="s">
        <v>63</v>
      </c>
      <c r="AX25" s="10" t="s">
        <v>64</v>
      </c>
      <c r="AY25" s="10" t="s">
        <v>65</v>
      </c>
      <c r="AZ25" s="10" t="s">
        <v>66</v>
      </c>
      <c r="BA25" s="10" t="s">
        <v>67</v>
      </c>
      <c r="BB25" s="10" t="s">
        <v>68</v>
      </c>
      <c r="BC25" s="10" t="s">
        <v>69</v>
      </c>
      <c r="BD25" s="10" t="s">
        <v>70</v>
      </c>
      <c r="BE25" s="10" t="s">
        <v>71</v>
      </c>
      <c r="BF25" s="10" t="s">
        <v>72</v>
      </c>
      <c r="BG25" s="10" t="s">
        <v>73</v>
      </c>
      <c r="BH25" s="10" t="s">
        <v>74</v>
      </c>
      <c r="BI25" s="10" t="s">
        <v>75</v>
      </c>
      <c r="BJ25" s="10" t="s">
        <v>76</v>
      </c>
      <c r="BK25" s="10" t="s">
        <v>77</v>
      </c>
      <c r="BL25" s="11" t="s">
        <v>78</v>
      </c>
      <c r="BM25" s="12">
        <v>33</v>
      </c>
      <c r="BN25" s="33">
        <v>34</v>
      </c>
      <c r="BO25" s="33">
        <v>35</v>
      </c>
      <c r="BP25" s="33">
        <v>36</v>
      </c>
      <c r="BQ25" s="33">
        <v>37</v>
      </c>
      <c r="BR25" s="33">
        <v>38</v>
      </c>
      <c r="BS25" s="33">
        <v>39</v>
      </c>
      <c r="BT25" s="33">
        <v>40</v>
      </c>
      <c r="BU25" s="33">
        <v>41</v>
      </c>
      <c r="BV25" s="33">
        <v>42</v>
      </c>
      <c r="BW25" s="33">
        <v>43</v>
      </c>
    </row>
    <row r="26" spans="1:75" s="16" customFormat="1" x14ac:dyDescent="0.25">
      <c r="A26" s="37" t="s">
        <v>79</v>
      </c>
      <c r="B26" s="38" t="s">
        <v>164</v>
      </c>
      <c r="C26" s="39" t="s">
        <v>161</v>
      </c>
      <c r="D26" s="39" t="s">
        <v>161</v>
      </c>
      <c r="E26" s="39" t="s">
        <v>161</v>
      </c>
      <c r="F26" s="39" t="s">
        <v>161</v>
      </c>
      <c r="G26" s="39" t="s">
        <v>161</v>
      </c>
      <c r="H26" s="40">
        <f t="shared" ref="H26:O26" si="0">H27+H50+H90</f>
        <v>11.390026968394675</v>
      </c>
      <c r="I26" s="40">
        <f t="shared" si="0"/>
        <v>64.552969993015992</v>
      </c>
      <c r="J26" s="40" t="s">
        <v>161</v>
      </c>
      <c r="K26" s="40">
        <f t="shared" si="0"/>
        <v>8.7345536249282052</v>
      </c>
      <c r="L26" s="40">
        <f t="shared" si="0"/>
        <v>59.164835529205995</v>
      </c>
      <c r="M26" s="40" t="s">
        <v>161</v>
      </c>
      <c r="N26" s="40">
        <f>N27</f>
        <v>626.19585176355929</v>
      </c>
      <c r="O26" s="40">
        <f t="shared" si="0"/>
        <v>1.0447050231999999</v>
      </c>
      <c r="P26" s="40">
        <v>0</v>
      </c>
      <c r="Q26" s="40">
        <v>0</v>
      </c>
      <c r="R26" s="40">
        <f>R27+R50</f>
        <v>973.54145431847201</v>
      </c>
      <c r="S26" s="40">
        <f>S27+S50</f>
        <v>1029.3274943127826</v>
      </c>
      <c r="T26" s="40">
        <f>T50</f>
        <v>72.004293763591392</v>
      </c>
      <c r="U26" s="40">
        <f>U27+U50+U90</f>
        <v>868.45022513390632</v>
      </c>
      <c r="V26" s="40">
        <f>V90</f>
        <v>1.2470264989597175</v>
      </c>
      <c r="W26" s="40" t="e">
        <f>W50+W88+W90</f>
        <v>#REF!</v>
      </c>
      <c r="X26" s="40">
        <f>X27+X50+X90</f>
        <v>868.1244401139063</v>
      </c>
      <c r="Y26" s="40">
        <f>Y27+Y50+Y90</f>
        <v>752.7423349867986</v>
      </c>
      <c r="Z26" s="40">
        <f t="shared" ref="Z26:AH26" si="1">Z27+Z50+Z90</f>
        <v>0</v>
      </c>
      <c r="AA26" s="40">
        <f t="shared" si="1"/>
        <v>0</v>
      </c>
      <c r="AB26" s="40">
        <f t="shared" si="1"/>
        <v>143.99999505323922</v>
      </c>
      <c r="AC26" s="40">
        <f t="shared" si="1"/>
        <v>608.74233993355938</v>
      </c>
      <c r="AD26" s="40">
        <f t="shared" si="1"/>
        <v>763.20523688358639</v>
      </c>
      <c r="AE26" s="40">
        <f t="shared" si="1"/>
        <v>0</v>
      </c>
      <c r="AF26" s="40">
        <f t="shared" si="1"/>
        <v>0</v>
      </c>
      <c r="AG26" s="40">
        <f t="shared" si="1"/>
        <v>143.99989695002705</v>
      </c>
      <c r="AH26" s="40">
        <f t="shared" si="1"/>
        <v>619.20533993355934</v>
      </c>
      <c r="AI26" s="40" t="e">
        <f t="shared" ref="AI26:BV26" si="2">AI50+AI85+AI88+AI89+AI90</f>
        <v>#VALUE!</v>
      </c>
      <c r="AJ26" s="40" t="e">
        <f t="shared" si="2"/>
        <v>#VALUE!</v>
      </c>
      <c r="AK26" s="40" t="e">
        <f t="shared" si="2"/>
        <v>#VALUE!</v>
      </c>
      <c r="AL26" s="40" t="e">
        <f t="shared" si="2"/>
        <v>#VALUE!</v>
      </c>
      <c r="AM26" s="40" t="e">
        <f t="shared" si="2"/>
        <v>#VALUE!</v>
      </c>
      <c r="AN26" s="40" t="e">
        <f t="shared" si="2"/>
        <v>#VALUE!</v>
      </c>
      <c r="AO26" s="40" t="e">
        <f t="shared" si="2"/>
        <v>#VALUE!</v>
      </c>
      <c r="AP26" s="40" t="e">
        <f t="shared" si="2"/>
        <v>#VALUE!</v>
      </c>
      <c r="AQ26" s="40" t="e">
        <f t="shared" si="2"/>
        <v>#VALUE!</v>
      </c>
      <c r="AR26" s="40" t="e">
        <f t="shared" si="2"/>
        <v>#VALUE!</v>
      </c>
      <c r="AS26" s="40" t="e">
        <f t="shared" si="2"/>
        <v>#VALUE!</v>
      </c>
      <c r="AT26" s="40" t="e">
        <f t="shared" si="2"/>
        <v>#VALUE!</v>
      </c>
      <c r="AU26" s="40" t="e">
        <f t="shared" si="2"/>
        <v>#VALUE!</v>
      </c>
      <c r="AV26" s="40" t="e">
        <f t="shared" si="2"/>
        <v>#VALUE!</v>
      </c>
      <c r="AW26" s="40" t="e">
        <f t="shared" si="2"/>
        <v>#VALUE!</v>
      </c>
      <c r="AX26" s="40" t="e">
        <f t="shared" si="2"/>
        <v>#VALUE!</v>
      </c>
      <c r="AY26" s="40" t="e">
        <f t="shared" si="2"/>
        <v>#VALUE!</v>
      </c>
      <c r="AZ26" s="40" t="e">
        <f t="shared" si="2"/>
        <v>#VALUE!</v>
      </c>
      <c r="BA26" s="40" t="e">
        <f t="shared" si="2"/>
        <v>#VALUE!</v>
      </c>
      <c r="BB26" s="40" t="e">
        <f t="shared" si="2"/>
        <v>#VALUE!</v>
      </c>
      <c r="BC26" s="40" t="e">
        <f t="shared" si="2"/>
        <v>#VALUE!</v>
      </c>
      <c r="BD26" s="40" t="e">
        <f t="shared" si="2"/>
        <v>#VALUE!</v>
      </c>
      <c r="BE26" s="40" t="e">
        <f t="shared" si="2"/>
        <v>#VALUE!</v>
      </c>
      <c r="BF26" s="40" t="e">
        <f t="shared" si="2"/>
        <v>#VALUE!</v>
      </c>
      <c r="BG26" s="40" t="e">
        <f t="shared" si="2"/>
        <v>#VALUE!</v>
      </c>
      <c r="BH26" s="40" t="e">
        <f t="shared" si="2"/>
        <v>#VALUE!</v>
      </c>
      <c r="BI26" s="40" t="e">
        <f t="shared" si="2"/>
        <v>#VALUE!</v>
      </c>
      <c r="BJ26" s="40" t="e">
        <f t="shared" si="2"/>
        <v>#VALUE!</v>
      </c>
      <c r="BK26" s="40" t="e">
        <f t="shared" si="2"/>
        <v>#VALUE!</v>
      </c>
      <c r="BL26" s="40" t="e">
        <f t="shared" si="2"/>
        <v>#VALUE!</v>
      </c>
      <c r="BM26" s="40" t="e">
        <f t="shared" si="2"/>
        <v>#VALUE!</v>
      </c>
      <c r="BN26" s="40" t="e">
        <f t="shared" si="2"/>
        <v>#VALUE!</v>
      </c>
      <c r="BO26" s="40" t="e">
        <f t="shared" si="2"/>
        <v>#VALUE!</v>
      </c>
      <c r="BP26" s="40" t="e">
        <f t="shared" si="2"/>
        <v>#VALUE!</v>
      </c>
      <c r="BQ26" s="40" t="e">
        <f t="shared" si="2"/>
        <v>#VALUE!</v>
      </c>
      <c r="BR26" s="40" t="e">
        <f t="shared" si="2"/>
        <v>#VALUE!</v>
      </c>
      <c r="BS26" s="40" t="e">
        <f t="shared" si="2"/>
        <v>#VALUE!</v>
      </c>
      <c r="BT26" s="40" t="e">
        <f t="shared" si="2"/>
        <v>#VALUE!</v>
      </c>
      <c r="BU26" s="40" t="e">
        <f t="shared" si="2"/>
        <v>#VALUE!</v>
      </c>
      <c r="BV26" s="40" t="e">
        <f t="shared" si="2"/>
        <v>#VALUE!</v>
      </c>
      <c r="BW26" s="41" t="s">
        <v>161</v>
      </c>
    </row>
    <row r="27" spans="1:75" s="17" customFormat="1" ht="31.5" x14ac:dyDescent="0.25">
      <c r="A27" s="42" t="s">
        <v>80</v>
      </c>
      <c r="B27" s="43" t="s">
        <v>81</v>
      </c>
      <c r="C27" s="41" t="s">
        <v>167</v>
      </c>
      <c r="D27" s="41" t="s">
        <v>161</v>
      </c>
      <c r="E27" s="41" t="s">
        <v>161</v>
      </c>
      <c r="F27" s="41" t="s">
        <v>161</v>
      </c>
      <c r="G27" s="41" t="s">
        <v>161</v>
      </c>
      <c r="H27" s="44">
        <v>0</v>
      </c>
      <c r="I27" s="44">
        <v>0</v>
      </c>
      <c r="J27" s="41" t="s">
        <v>161</v>
      </c>
      <c r="K27" s="44">
        <f>K28+K46</f>
        <v>0</v>
      </c>
      <c r="L27" s="44">
        <f>L28+L46</f>
        <v>0</v>
      </c>
      <c r="M27" s="41" t="s">
        <v>161</v>
      </c>
      <c r="N27" s="44">
        <f t="shared" ref="N27:AH27" si="3">N28+N46</f>
        <v>626.19585176355929</v>
      </c>
      <c r="O27" s="44">
        <f t="shared" si="3"/>
        <v>0</v>
      </c>
      <c r="P27" s="44">
        <f t="shared" si="3"/>
        <v>924.40042153536206</v>
      </c>
      <c r="Q27" s="44">
        <f t="shared" si="3"/>
        <v>977.15470967661292</v>
      </c>
      <c r="R27" s="44">
        <f t="shared" si="3"/>
        <v>924.40042153536206</v>
      </c>
      <c r="S27" s="44">
        <f t="shared" si="3"/>
        <v>977.15470967661292</v>
      </c>
      <c r="T27" s="44">
        <f t="shared" si="3"/>
        <v>806.59464022387931</v>
      </c>
      <c r="U27" s="44">
        <f t="shared" si="3"/>
        <v>806.59464022387931</v>
      </c>
      <c r="V27" s="44">
        <f t="shared" si="3"/>
        <v>806.59464022387931</v>
      </c>
      <c r="W27" s="44" t="e">
        <f t="shared" si="3"/>
        <v>#VALUE!</v>
      </c>
      <c r="X27" s="44">
        <f t="shared" si="3"/>
        <v>806.59464022387931</v>
      </c>
      <c r="Y27" s="44">
        <f>Y28+Y46</f>
        <v>661.67357993355938</v>
      </c>
      <c r="Z27" s="44">
        <f t="shared" si="3"/>
        <v>0</v>
      </c>
      <c r="AA27" s="44">
        <f t="shared" si="3"/>
        <v>0</v>
      </c>
      <c r="AB27" s="44">
        <f t="shared" si="3"/>
        <v>52.931240000000003</v>
      </c>
      <c r="AC27" s="44">
        <f t="shared" si="3"/>
        <v>608.74233993355938</v>
      </c>
      <c r="AD27" s="44">
        <f t="shared" si="3"/>
        <v>661.67357993355938</v>
      </c>
      <c r="AE27" s="44">
        <f t="shared" si="3"/>
        <v>0</v>
      </c>
      <c r="AF27" s="44">
        <f t="shared" si="3"/>
        <v>0</v>
      </c>
      <c r="AG27" s="44">
        <f t="shared" si="3"/>
        <v>52.931240000000003</v>
      </c>
      <c r="AH27" s="44">
        <f t="shared" si="3"/>
        <v>608.74233993355938</v>
      </c>
      <c r="AI27" s="41">
        <f t="shared" ref="AI27:BV27" si="4">AI28+AI34+AI37+AI46</f>
        <v>0</v>
      </c>
      <c r="AJ27" s="41">
        <f t="shared" si="4"/>
        <v>0</v>
      </c>
      <c r="AK27" s="41">
        <f t="shared" si="4"/>
        <v>0</v>
      </c>
      <c r="AL27" s="41">
        <f t="shared" si="4"/>
        <v>0</v>
      </c>
      <c r="AM27" s="41">
        <f t="shared" si="4"/>
        <v>0</v>
      </c>
      <c r="AN27" s="41">
        <f t="shared" si="4"/>
        <v>0</v>
      </c>
      <c r="AO27" s="41">
        <f t="shared" si="4"/>
        <v>0</v>
      </c>
      <c r="AP27" s="41">
        <f t="shared" si="4"/>
        <v>0</v>
      </c>
      <c r="AQ27" s="41">
        <f t="shared" si="4"/>
        <v>0</v>
      </c>
      <c r="AR27" s="41">
        <f t="shared" si="4"/>
        <v>0</v>
      </c>
      <c r="AS27" s="41">
        <f t="shared" si="4"/>
        <v>0</v>
      </c>
      <c r="AT27" s="41">
        <f t="shared" si="4"/>
        <v>0</v>
      </c>
      <c r="AU27" s="41">
        <f t="shared" si="4"/>
        <v>0</v>
      </c>
      <c r="AV27" s="41">
        <f t="shared" si="4"/>
        <v>0</v>
      </c>
      <c r="AW27" s="41">
        <f t="shared" si="4"/>
        <v>0</v>
      </c>
      <c r="AX27" s="41">
        <f t="shared" si="4"/>
        <v>0</v>
      </c>
      <c r="AY27" s="41">
        <f t="shared" si="4"/>
        <v>0</v>
      </c>
      <c r="AZ27" s="41">
        <f t="shared" si="4"/>
        <v>0</v>
      </c>
      <c r="BA27" s="41">
        <f t="shared" si="4"/>
        <v>0</v>
      </c>
      <c r="BB27" s="41">
        <f t="shared" si="4"/>
        <v>0</v>
      </c>
      <c r="BC27" s="41">
        <f t="shared" si="4"/>
        <v>0</v>
      </c>
      <c r="BD27" s="41">
        <f t="shared" si="4"/>
        <v>0</v>
      </c>
      <c r="BE27" s="41">
        <f t="shared" si="4"/>
        <v>0</v>
      </c>
      <c r="BF27" s="41">
        <f t="shared" si="4"/>
        <v>0</v>
      </c>
      <c r="BG27" s="41">
        <f t="shared" si="4"/>
        <v>0</v>
      </c>
      <c r="BH27" s="41">
        <f t="shared" si="4"/>
        <v>0</v>
      </c>
      <c r="BI27" s="41">
        <f t="shared" si="4"/>
        <v>0</v>
      </c>
      <c r="BJ27" s="41">
        <f t="shared" si="4"/>
        <v>0</v>
      </c>
      <c r="BK27" s="41">
        <f t="shared" si="4"/>
        <v>0</v>
      </c>
      <c r="BL27" s="41">
        <f t="shared" si="4"/>
        <v>0</v>
      </c>
      <c r="BM27" s="41">
        <f t="shared" si="4"/>
        <v>0</v>
      </c>
      <c r="BN27" s="41">
        <f t="shared" si="4"/>
        <v>0</v>
      </c>
      <c r="BO27" s="41">
        <f t="shared" si="4"/>
        <v>0</v>
      </c>
      <c r="BP27" s="41">
        <f t="shared" si="4"/>
        <v>0</v>
      </c>
      <c r="BQ27" s="41">
        <f t="shared" si="4"/>
        <v>0</v>
      </c>
      <c r="BR27" s="41">
        <f t="shared" si="4"/>
        <v>0</v>
      </c>
      <c r="BS27" s="41">
        <f t="shared" si="4"/>
        <v>0</v>
      </c>
      <c r="BT27" s="41">
        <f t="shared" si="4"/>
        <v>0</v>
      </c>
      <c r="BU27" s="41">
        <f t="shared" si="4"/>
        <v>0</v>
      </c>
      <c r="BV27" s="41">
        <f t="shared" si="4"/>
        <v>0</v>
      </c>
      <c r="BW27" s="41" t="s">
        <v>161</v>
      </c>
    </row>
    <row r="28" spans="1:75" s="17" customFormat="1" ht="47.25" x14ac:dyDescent="0.25">
      <c r="A28" s="42" t="s">
        <v>82</v>
      </c>
      <c r="B28" s="43" t="s">
        <v>83</v>
      </c>
      <c r="C28" s="41" t="s">
        <v>167</v>
      </c>
      <c r="D28" s="41" t="s">
        <v>161</v>
      </c>
      <c r="E28" s="41" t="s">
        <v>161</v>
      </c>
      <c r="F28" s="41" t="s">
        <v>161</v>
      </c>
      <c r="G28" s="41" t="s">
        <v>161</v>
      </c>
      <c r="H28" s="44">
        <v>0</v>
      </c>
      <c r="I28" s="44">
        <v>0</v>
      </c>
      <c r="J28" s="41" t="s">
        <v>161</v>
      </c>
      <c r="K28" s="44">
        <f>K31</f>
        <v>0</v>
      </c>
      <c r="L28" s="44">
        <f>L31</f>
        <v>0</v>
      </c>
      <c r="M28" s="41" t="s">
        <v>161</v>
      </c>
      <c r="N28" s="44">
        <f>N31</f>
        <v>626.19585176355929</v>
      </c>
      <c r="O28" s="44">
        <f t="shared" ref="O28:AH28" si="5">O31</f>
        <v>0</v>
      </c>
      <c r="P28" s="44">
        <f t="shared" si="5"/>
        <v>751.77274191631886</v>
      </c>
      <c r="Q28" s="44">
        <f t="shared" si="5"/>
        <v>793.87677999293726</v>
      </c>
      <c r="R28" s="44">
        <f t="shared" si="5"/>
        <v>751.77274191631886</v>
      </c>
      <c r="S28" s="44">
        <f t="shared" si="5"/>
        <v>793.87677999293726</v>
      </c>
      <c r="T28" s="44">
        <f t="shared" si="5"/>
        <v>626.19585176355929</v>
      </c>
      <c r="U28" s="44">
        <f t="shared" si="5"/>
        <v>626.19585176355929</v>
      </c>
      <c r="V28" s="44">
        <f t="shared" si="5"/>
        <v>626.19585176355929</v>
      </c>
      <c r="W28" s="44" t="str">
        <f t="shared" si="5"/>
        <v>нд</v>
      </c>
      <c r="X28" s="44">
        <f t="shared" si="5"/>
        <v>626.19585176355929</v>
      </c>
      <c r="Y28" s="44">
        <f>Y31</f>
        <v>608.74233993355938</v>
      </c>
      <c r="Z28" s="44">
        <f t="shared" si="5"/>
        <v>0</v>
      </c>
      <c r="AA28" s="44">
        <f t="shared" si="5"/>
        <v>0</v>
      </c>
      <c r="AB28" s="44">
        <f t="shared" si="5"/>
        <v>0</v>
      </c>
      <c r="AC28" s="44">
        <f t="shared" si="5"/>
        <v>608.74233993355938</v>
      </c>
      <c r="AD28" s="44">
        <f t="shared" si="5"/>
        <v>608.74233993355938</v>
      </c>
      <c r="AE28" s="44">
        <f t="shared" si="5"/>
        <v>0</v>
      </c>
      <c r="AF28" s="44">
        <f t="shared" si="5"/>
        <v>0</v>
      </c>
      <c r="AG28" s="44">
        <f t="shared" si="5"/>
        <v>0</v>
      </c>
      <c r="AH28" s="44">
        <f t="shared" si="5"/>
        <v>608.74233993355938</v>
      </c>
      <c r="AI28" s="41">
        <f t="shared" ref="AI28:BV28" si="6">AI29+AI30+AI31</f>
        <v>0</v>
      </c>
      <c r="AJ28" s="41">
        <f t="shared" si="6"/>
        <v>0</v>
      </c>
      <c r="AK28" s="41">
        <f t="shared" si="6"/>
        <v>0</v>
      </c>
      <c r="AL28" s="41">
        <f t="shared" si="6"/>
        <v>0</v>
      </c>
      <c r="AM28" s="41">
        <f t="shared" si="6"/>
        <v>0</v>
      </c>
      <c r="AN28" s="41">
        <f t="shared" si="6"/>
        <v>0</v>
      </c>
      <c r="AO28" s="41">
        <f t="shared" si="6"/>
        <v>0</v>
      </c>
      <c r="AP28" s="41">
        <f t="shared" si="6"/>
        <v>0</v>
      </c>
      <c r="AQ28" s="41">
        <f t="shared" si="6"/>
        <v>0</v>
      </c>
      <c r="AR28" s="41">
        <f t="shared" si="6"/>
        <v>0</v>
      </c>
      <c r="AS28" s="41">
        <f t="shared" si="6"/>
        <v>0</v>
      </c>
      <c r="AT28" s="41">
        <f t="shared" si="6"/>
        <v>0</v>
      </c>
      <c r="AU28" s="41">
        <f t="shared" si="6"/>
        <v>0</v>
      </c>
      <c r="AV28" s="41">
        <f t="shared" si="6"/>
        <v>0</v>
      </c>
      <c r="AW28" s="41">
        <f t="shared" si="6"/>
        <v>0</v>
      </c>
      <c r="AX28" s="41">
        <f t="shared" si="6"/>
        <v>0</v>
      </c>
      <c r="AY28" s="41">
        <f t="shared" si="6"/>
        <v>0</v>
      </c>
      <c r="AZ28" s="41">
        <f t="shared" si="6"/>
        <v>0</v>
      </c>
      <c r="BA28" s="41">
        <f t="shared" si="6"/>
        <v>0</v>
      </c>
      <c r="BB28" s="41">
        <f t="shared" si="6"/>
        <v>0</v>
      </c>
      <c r="BC28" s="41">
        <f t="shared" si="6"/>
        <v>0</v>
      </c>
      <c r="BD28" s="41">
        <f t="shared" si="6"/>
        <v>0</v>
      </c>
      <c r="BE28" s="41">
        <f t="shared" si="6"/>
        <v>0</v>
      </c>
      <c r="BF28" s="41">
        <f t="shared" si="6"/>
        <v>0</v>
      </c>
      <c r="BG28" s="41">
        <f t="shared" si="6"/>
        <v>0</v>
      </c>
      <c r="BH28" s="41">
        <f t="shared" si="6"/>
        <v>0</v>
      </c>
      <c r="BI28" s="41">
        <f t="shared" si="6"/>
        <v>0</v>
      </c>
      <c r="BJ28" s="41">
        <f t="shared" si="6"/>
        <v>0</v>
      </c>
      <c r="BK28" s="41">
        <f t="shared" si="6"/>
        <v>0</v>
      </c>
      <c r="BL28" s="41">
        <f t="shared" si="6"/>
        <v>0</v>
      </c>
      <c r="BM28" s="41">
        <f t="shared" si="6"/>
        <v>0</v>
      </c>
      <c r="BN28" s="41">
        <f t="shared" si="6"/>
        <v>0</v>
      </c>
      <c r="BO28" s="41">
        <f t="shared" si="6"/>
        <v>0</v>
      </c>
      <c r="BP28" s="41">
        <f t="shared" si="6"/>
        <v>0</v>
      </c>
      <c r="BQ28" s="41">
        <f t="shared" si="6"/>
        <v>0</v>
      </c>
      <c r="BR28" s="41">
        <f t="shared" si="6"/>
        <v>0</v>
      </c>
      <c r="BS28" s="41">
        <f t="shared" si="6"/>
        <v>0</v>
      </c>
      <c r="BT28" s="41">
        <f t="shared" si="6"/>
        <v>0</v>
      </c>
      <c r="BU28" s="41">
        <f t="shared" si="6"/>
        <v>0</v>
      </c>
      <c r="BV28" s="41">
        <f t="shared" si="6"/>
        <v>0</v>
      </c>
      <c r="BW28" s="41" t="s">
        <v>161</v>
      </c>
    </row>
    <row r="29" spans="1:75" s="17" customFormat="1" ht="63" x14ac:dyDescent="0.25">
      <c r="A29" s="42" t="s">
        <v>84</v>
      </c>
      <c r="B29" s="43" t="s">
        <v>85</v>
      </c>
      <c r="C29" s="41" t="s">
        <v>167</v>
      </c>
      <c r="D29" s="41" t="s">
        <v>161</v>
      </c>
      <c r="E29" s="41" t="s">
        <v>161</v>
      </c>
      <c r="F29" s="41" t="s">
        <v>161</v>
      </c>
      <c r="G29" s="41" t="s">
        <v>161</v>
      </c>
      <c r="H29" s="44">
        <v>0</v>
      </c>
      <c r="I29" s="44">
        <v>0</v>
      </c>
      <c r="J29" s="41" t="s">
        <v>161</v>
      </c>
      <c r="K29" s="44">
        <v>0</v>
      </c>
      <c r="L29" s="44">
        <v>0</v>
      </c>
      <c r="M29" s="41" t="s">
        <v>161</v>
      </c>
      <c r="N29" s="44" t="s">
        <v>161</v>
      </c>
      <c r="O29" s="44" t="s">
        <v>161</v>
      </c>
      <c r="P29" s="44" t="s">
        <v>161</v>
      </c>
      <c r="Q29" s="44" t="s">
        <v>161</v>
      </c>
      <c r="R29" s="44" t="s">
        <v>161</v>
      </c>
      <c r="S29" s="44" t="s">
        <v>161</v>
      </c>
      <c r="T29" s="44" t="s">
        <v>161</v>
      </c>
      <c r="U29" s="44" t="s">
        <v>161</v>
      </c>
      <c r="V29" s="44" t="s">
        <v>161</v>
      </c>
      <c r="W29" s="44" t="s">
        <v>161</v>
      </c>
      <c r="X29" s="44" t="s">
        <v>161</v>
      </c>
      <c r="Y29" s="44" t="s">
        <v>161</v>
      </c>
      <c r="Z29" s="44" t="s">
        <v>161</v>
      </c>
      <c r="AA29" s="44" t="s">
        <v>161</v>
      </c>
      <c r="AB29" s="44" t="s">
        <v>161</v>
      </c>
      <c r="AC29" s="44" t="s">
        <v>161</v>
      </c>
      <c r="AD29" s="44" t="s">
        <v>161</v>
      </c>
      <c r="AE29" s="44" t="s">
        <v>161</v>
      </c>
      <c r="AF29" s="44" t="s">
        <v>161</v>
      </c>
      <c r="AG29" s="44" t="s">
        <v>161</v>
      </c>
      <c r="AH29" s="44" t="s">
        <v>161</v>
      </c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3"/>
      <c r="BO29" s="13"/>
      <c r="BP29" s="13"/>
      <c r="BQ29" s="13"/>
      <c r="BR29" s="18"/>
      <c r="BS29" s="13"/>
      <c r="BT29" s="13"/>
      <c r="BU29" s="13"/>
      <c r="BV29" s="13"/>
      <c r="BW29" s="41" t="s">
        <v>161</v>
      </c>
    </row>
    <row r="30" spans="1:75" s="17" customFormat="1" ht="63.75" customHeight="1" x14ac:dyDescent="0.25">
      <c r="A30" s="42" t="s">
        <v>86</v>
      </c>
      <c r="B30" s="43" t="s">
        <v>87</v>
      </c>
      <c r="C30" s="41" t="s">
        <v>167</v>
      </c>
      <c r="D30" s="41" t="s">
        <v>161</v>
      </c>
      <c r="E30" s="41" t="s">
        <v>161</v>
      </c>
      <c r="F30" s="41" t="s">
        <v>161</v>
      </c>
      <c r="G30" s="41" t="s">
        <v>161</v>
      </c>
      <c r="H30" s="44">
        <v>0</v>
      </c>
      <c r="I30" s="44">
        <v>0</v>
      </c>
      <c r="J30" s="41" t="s">
        <v>161</v>
      </c>
      <c r="K30" s="44">
        <v>0</v>
      </c>
      <c r="L30" s="44">
        <v>0</v>
      </c>
      <c r="M30" s="41" t="s">
        <v>161</v>
      </c>
      <c r="N30" s="44" t="s">
        <v>161</v>
      </c>
      <c r="O30" s="44" t="s">
        <v>161</v>
      </c>
      <c r="P30" s="44" t="s">
        <v>161</v>
      </c>
      <c r="Q30" s="44" t="s">
        <v>161</v>
      </c>
      <c r="R30" s="44" t="s">
        <v>161</v>
      </c>
      <c r="S30" s="44" t="s">
        <v>161</v>
      </c>
      <c r="T30" s="44" t="s">
        <v>161</v>
      </c>
      <c r="U30" s="44" t="s">
        <v>161</v>
      </c>
      <c r="V30" s="44" t="s">
        <v>161</v>
      </c>
      <c r="W30" s="44" t="s">
        <v>161</v>
      </c>
      <c r="X30" s="44" t="s">
        <v>161</v>
      </c>
      <c r="Y30" s="44" t="s">
        <v>161</v>
      </c>
      <c r="Z30" s="44" t="s">
        <v>161</v>
      </c>
      <c r="AA30" s="44" t="s">
        <v>161</v>
      </c>
      <c r="AB30" s="44" t="s">
        <v>161</v>
      </c>
      <c r="AC30" s="44" t="s">
        <v>161</v>
      </c>
      <c r="AD30" s="44" t="s">
        <v>161</v>
      </c>
      <c r="AE30" s="44" t="s">
        <v>161</v>
      </c>
      <c r="AF30" s="44" t="s">
        <v>161</v>
      </c>
      <c r="AG30" s="44" t="s">
        <v>161</v>
      </c>
      <c r="AH30" s="44" t="s">
        <v>161</v>
      </c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3"/>
      <c r="BO30" s="13"/>
      <c r="BP30" s="13"/>
      <c r="BQ30" s="13"/>
      <c r="BR30" s="18"/>
      <c r="BS30" s="13"/>
      <c r="BT30" s="13"/>
      <c r="BU30" s="13"/>
      <c r="BV30" s="13"/>
      <c r="BW30" s="41" t="s">
        <v>161</v>
      </c>
    </row>
    <row r="31" spans="1:75" s="17" customFormat="1" ht="63" x14ac:dyDescent="0.25">
      <c r="A31" s="42" t="s">
        <v>88</v>
      </c>
      <c r="B31" s="43" t="s">
        <v>89</v>
      </c>
      <c r="C31" s="41" t="s">
        <v>167</v>
      </c>
      <c r="D31" s="41" t="s">
        <v>161</v>
      </c>
      <c r="E31" s="41" t="s">
        <v>161</v>
      </c>
      <c r="F31" s="41" t="s">
        <v>161</v>
      </c>
      <c r="G31" s="41" t="s">
        <v>161</v>
      </c>
      <c r="H31" s="44">
        <v>0</v>
      </c>
      <c r="I31" s="44">
        <v>0</v>
      </c>
      <c r="J31" s="41" t="s">
        <v>161</v>
      </c>
      <c r="K31" s="44">
        <f>SUM(K32:K33)</f>
        <v>0</v>
      </c>
      <c r="L31" s="44">
        <f>SUM(L32:L33)</f>
        <v>0</v>
      </c>
      <c r="M31" s="41" t="s">
        <v>161</v>
      </c>
      <c r="N31" s="41">
        <f>SUM(N32:N33)</f>
        <v>626.19585176355929</v>
      </c>
      <c r="O31" s="44">
        <f>SUM(O32:O33)</f>
        <v>0</v>
      </c>
      <c r="P31" s="44">
        <f t="shared" ref="P31:Q33" si="7">R31</f>
        <v>751.77274191631886</v>
      </c>
      <c r="Q31" s="44">
        <f t="shared" si="7"/>
        <v>793.87677999293726</v>
      </c>
      <c r="R31" s="44">
        <f>SUM(R32:R33)</f>
        <v>751.77274191631886</v>
      </c>
      <c r="S31" s="44">
        <f>SUM(S32:S33)</f>
        <v>793.87677999293726</v>
      </c>
      <c r="T31" s="44">
        <f>U31</f>
        <v>626.19585176355929</v>
      </c>
      <c r="U31" s="44">
        <f>SUM(U32:U33)</f>
        <v>626.19585176355929</v>
      </c>
      <c r="V31" s="44">
        <f>X31</f>
        <v>626.19585176355929</v>
      </c>
      <c r="W31" s="41" t="s">
        <v>161</v>
      </c>
      <c r="X31" s="44">
        <f>SUM(X32:X33)</f>
        <v>626.19585176355929</v>
      </c>
      <c r="Y31" s="44">
        <f>AC31</f>
        <v>608.74233993355938</v>
      </c>
      <c r="Z31" s="44">
        <v>0</v>
      </c>
      <c r="AA31" s="44">
        <v>0</v>
      </c>
      <c r="AB31" s="44">
        <v>0</v>
      </c>
      <c r="AC31" s="44">
        <v>608.74233993355938</v>
      </c>
      <c r="AD31" s="44">
        <f>AH31</f>
        <v>608.74233993355938</v>
      </c>
      <c r="AE31" s="44">
        <v>0</v>
      </c>
      <c r="AF31" s="44">
        <v>0</v>
      </c>
      <c r="AG31" s="44">
        <v>0</v>
      </c>
      <c r="AH31" s="44">
        <f>AC31</f>
        <v>608.74233993355938</v>
      </c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3"/>
      <c r="BO31" s="13"/>
      <c r="BP31" s="13"/>
      <c r="BQ31" s="13"/>
      <c r="BR31" s="18"/>
      <c r="BS31" s="13"/>
      <c r="BT31" s="13"/>
      <c r="BU31" s="13"/>
      <c r="BV31" s="13"/>
      <c r="BW31" s="41" t="s">
        <v>161</v>
      </c>
    </row>
    <row r="32" spans="1:75" s="17" customFormat="1" ht="47.25" x14ac:dyDescent="0.25">
      <c r="A32" s="45" t="s">
        <v>221</v>
      </c>
      <c r="B32" s="46" t="s">
        <v>226</v>
      </c>
      <c r="C32" s="33" t="s">
        <v>223</v>
      </c>
      <c r="D32" s="41" t="s">
        <v>225</v>
      </c>
      <c r="E32" s="41">
        <v>2018</v>
      </c>
      <c r="F32" s="41" t="s">
        <v>161</v>
      </c>
      <c r="G32" s="41">
        <v>2019</v>
      </c>
      <c r="H32" s="44">
        <v>0</v>
      </c>
      <c r="I32" s="44">
        <v>0</v>
      </c>
      <c r="J32" s="41" t="s">
        <v>161</v>
      </c>
      <c r="K32" s="41" t="s">
        <v>161</v>
      </c>
      <c r="L32" s="41" t="s">
        <v>161</v>
      </c>
      <c r="M32" s="41" t="s">
        <v>161</v>
      </c>
      <c r="N32" s="41">
        <v>422.80142014999996</v>
      </c>
      <c r="O32" s="44">
        <v>0</v>
      </c>
      <c r="P32" s="44">
        <f t="shared" si="7"/>
        <v>487.52309600561159</v>
      </c>
      <c r="Q32" s="44">
        <f t="shared" si="7"/>
        <v>513.32427457180665</v>
      </c>
      <c r="R32" s="44">
        <v>487.52309600561159</v>
      </c>
      <c r="S32" s="44">
        <v>513.32427457180665</v>
      </c>
      <c r="T32" s="44">
        <f>U32</f>
        <v>422.80142014999996</v>
      </c>
      <c r="U32" s="44">
        <f>N32</f>
        <v>422.80142014999996</v>
      </c>
      <c r="V32" s="44">
        <f>X32</f>
        <v>422.80142014999996</v>
      </c>
      <c r="W32" s="41"/>
      <c r="X32" s="44">
        <f>N32</f>
        <v>422.80142014999996</v>
      </c>
      <c r="Y32" s="44">
        <f t="shared" ref="Y32:Y33" si="8">AD32</f>
        <v>405.34790831999999</v>
      </c>
      <c r="Z32" s="44">
        <v>0</v>
      </c>
      <c r="AA32" s="44">
        <v>0</v>
      </c>
      <c r="AB32" s="44">
        <v>0</v>
      </c>
      <c r="AC32" s="44">
        <v>405.34790831999999</v>
      </c>
      <c r="AD32" s="44">
        <f>337.7899236*1.2</f>
        <v>405.34790831999999</v>
      </c>
      <c r="AE32" s="44">
        <v>0</v>
      </c>
      <c r="AF32" s="44">
        <v>0</v>
      </c>
      <c r="AG32" s="44">
        <v>0</v>
      </c>
      <c r="AH32" s="44">
        <f t="shared" ref="AH32:AH33" si="9">AC32</f>
        <v>405.34790831999999</v>
      </c>
      <c r="AI32" s="41" t="s">
        <v>161</v>
      </c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3"/>
      <c r="BO32" s="13"/>
      <c r="BP32" s="13"/>
      <c r="BQ32" s="13"/>
      <c r="BR32" s="18"/>
      <c r="BS32" s="13"/>
      <c r="BT32" s="13"/>
      <c r="BU32" s="13"/>
      <c r="BV32" s="13"/>
      <c r="BW32" s="47" t="s">
        <v>161</v>
      </c>
    </row>
    <row r="33" spans="1:75" s="17" customFormat="1" ht="47.25" x14ac:dyDescent="0.25">
      <c r="A33" s="45" t="s">
        <v>222</v>
      </c>
      <c r="B33" s="46" t="s">
        <v>230</v>
      </c>
      <c r="C33" s="33" t="s">
        <v>224</v>
      </c>
      <c r="D33" s="41" t="s">
        <v>168</v>
      </c>
      <c r="E33" s="41">
        <v>2019</v>
      </c>
      <c r="F33" s="41" t="s">
        <v>161</v>
      </c>
      <c r="G33" s="41">
        <v>2019</v>
      </c>
      <c r="H33" s="44">
        <v>0</v>
      </c>
      <c r="I33" s="44">
        <v>0</v>
      </c>
      <c r="J33" s="41" t="s">
        <v>161</v>
      </c>
      <c r="K33" s="41" t="s">
        <v>161</v>
      </c>
      <c r="L33" s="41" t="s">
        <v>161</v>
      </c>
      <c r="M33" s="41" t="s">
        <v>161</v>
      </c>
      <c r="N33" s="41">
        <f>200.00452442/1.18*1.2</f>
        <v>203.39443161355933</v>
      </c>
      <c r="O33" s="44">
        <v>0</v>
      </c>
      <c r="P33" s="44">
        <f t="shared" si="7"/>
        <v>264.24964591070727</v>
      </c>
      <c r="Q33" s="44">
        <f t="shared" si="7"/>
        <v>280.5525054211306</v>
      </c>
      <c r="R33" s="44">
        <v>264.24964591070727</v>
      </c>
      <c r="S33" s="44">
        <v>280.5525054211306</v>
      </c>
      <c r="T33" s="44">
        <f>U33</f>
        <v>203.39443161355933</v>
      </c>
      <c r="U33" s="44">
        <f>N33</f>
        <v>203.39443161355933</v>
      </c>
      <c r="V33" s="44">
        <f>X33</f>
        <v>203.39443161355933</v>
      </c>
      <c r="W33" s="41"/>
      <c r="X33" s="44">
        <f t="shared" ref="X33" si="10">U33-O33</f>
        <v>203.39443161355933</v>
      </c>
      <c r="Y33" s="44">
        <f t="shared" si="8"/>
        <v>203.39443161355933</v>
      </c>
      <c r="Z33" s="44">
        <v>0</v>
      </c>
      <c r="AA33" s="44">
        <v>0</v>
      </c>
      <c r="AB33" s="44">
        <v>0</v>
      </c>
      <c r="AC33" s="44">
        <v>203.39443161355933</v>
      </c>
      <c r="AD33" s="44">
        <f>AH33</f>
        <v>203.39443161355933</v>
      </c>
      <c r="AE33" s="44">
        <v>0</v>
      </c>
      <c r="AF33" s="44">
        <v>0</v>
      </c>
      <c r="AG33" s="44">
        <v>0</v>
      </c>
      <c r="AH33" s="44">
        <f t="shared" si="9"/>
        <v>203.39443161355933</v>
      </c>
      <c r="AI33" s="41" t="s">
        <v>161</v>
      </c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3"/>
      <c r="BO33" s="13"/>
      <c r="BP33" s="13"/>
      <c r="BQ33" s="13"/>
      <c r="BR33" s="18"/>
      <c r="BS33" s="13"/>
      <c r="BT33" s="13"/>
      <c r="BU33" s="13"/>
      <c r="BV33" s="13"/>
      <c r="BW33" s="47" t="s">
        <v>236</v>
      </c>
    </row>
    <row r="34" spans="1:75" s="17" customFormat="1" ht="47.25" x14ac:dyDescent="0.25">
      <c r="A34" s="42" t="s">
        <v>90</v>
      </c>
      <c r="B34" s="43" t="s">
        <v>91</v>
      </c>
      <c r="C34" s="41" t="s">
        <v>161</v>
      </c>
      <c r="D34" s="41" t="s">
        <v>161</v>
      </c>
      <c r="E34" s="41" t="s">
        <v>161</v>
      </c>
      <c r="F34" s="41" t="s">
        <v>161</v>
      </c>
      <c r="G34" s="41" t="s">
        <v>161</v>
      </c>
      <c r="H34" s="44">
        <v>0</v>
      </c>
      <c r="I34" s="44">
        <v>0</v>
      </c>
      <c r="J34" s="41" t="s">
        <v>161</v>
      </c>
      <c r="K34" s="44">
        <v>0</v>
      </c>
      <c r="L34" s="44">
        <v>0</v>
      </c>
      <c r="M34" s="41" t="s">
        <v>161</v>
      </c>
      <c r="N34" s="41" t="s">
        <v>161</v>
      </c>
      <c r="O34" s="41" t="s">
        <v>161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1" t="s">
        <v>161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1">
        <f t="shared" ref="AI34" si="11">AI35+AI36</f>
        <v>0</v>
      </c>
      <c r="AJ34" s="41">
        <f t="shared" ref="AJ34" si="12">AJ35+AJ36</f>
        <v>0</v>
      </c>
      <c r="AK34" s="41">
        <f t="shared" ref="AK34" si="13">AK35+AK36</f>
        <v>0</v>
      </c>
      <c r="AL34" s="41">
        <f t="shared" ref="AL34" si="14">AL35+AL36</f>
        <v>0</v>
      </c>
      <c r="AM34" s="41">
        <f t="shared" ref="AM34" si="15">AM35+AM36</f>
        <v>0</v>
      </c>
      <c r="AN34" s="41">
        <f t="shared" ref="AN34" si="16">AN35+AN36</f>
        <v>0</v>
      </c>
      <c r="AO34" s="41">
        <f t="shared" ref="AO34" si="17">AO35+AO36</f>
        <v>0</v>
      </c>
      <c r="AP34" s="41">
        <f t="shared" ref="AP34" si="18">AP35+AP36</f>
        <v>0</v>
      </c>
      <c r="AQ34" s="41">
        <f t="shared" ref="AQ34" si="19">AQ35+AQ36</f>
        <v>0</v>
      </c>
      <c r="AR34" s="41">
        <f t="shared" ref="AR34" si="20">AR35+AR36</f>
        <v>0</v>
      </c>
      <c r="AS34" s="41">
        <f t="shared" ref="AS34" si="21">AS35+AS36</f>
        <v>0</v>
      </c>
      <c r="AT34" s="41">
        <f t="shared" ref="AT34" si="22">AT35+AT36</f>
        <v>0</v>
      </c>
      <c r="AU34" s="41">
        <f t="shared" ref="AU34" si="23">AU35+AU36</f>
        <v>0</v>
      </c>
      <c r="AV34" s="41">
        <f t="shared" ref="AV34" si="24">AV35+AV36</f>
        <v>0</v>
      </c>
      <c r="AW34" s="41">
        <f t="shared" ref="AW34" si="25">AW35+AW36</f>
        <v>0</v>
      </c>
      <c r="AX34" s="41">
        <f t="shared" ref="AX34" si="26">AX35+AX36</f>
        <v>0</v>
      </c>
      <c r="AY34" s="41">
        <f t="shared" ref="AY34" si="27">AY35+AY36</f>
        <v>0</v>
      </c>
      <c r="AZ34" s="41">
        <f t="shared" ref="AZ34" si="28">AZ35+AZ36</f>
        <v>0</v>
      </c>
      <c r="BA34" s="41">
        <f t="shared" ref="BA34" si="29">BA35+BA36</f>
        <v>0</v>
      </c>
      <c r="BB34" s="41">
        <f t="shared" ref="BB34" si="30">BB35+BB36</f>
        <v>0</v>
      </c>
      <c r="BC34" s="41">
        <f t="shared" ref="BC34" si="31">BC35+BC36</f>
        <v>0</v>
      </c>
      <c r="BD34" s="41">
        <f t="shared" ref="BD34" si="32">BD35+BD36</f>
        <v>0</v>
      </c>
      <c r="BE34" s="41">
        <f t="shared" ref="BE34" si="33">BE35+BE36</f>
        <v>0</v>
      </c>
      <c r="BF34" s="41">
        <f t="shared" ref="BF34" si="34">BF35+BF36</f>
        <v>0</v>
      </c>
      <c r="BG34" s="41">
        <f t="shared" ref="BG34" si="35">BG35+BG36</f>
        <v>0</v>
      </c>
      <c r="BH34" s="41">
        <f t="shared" ref="BH34" si="36">BH35+BH36</f>
        <v>0</v>
      </c>
      <c r="BI34" s="41">
        <f t="shared" ref="BI34" si="37">BI35+BI36</f>
        <v>0</v>
      </c>
      <c r="BJ34" s="41">
        <f t="shared" ref="BJ34" si="38">BJ35+BJ36</f>
        <v>0</v>
      </c>
      <c r="BK34" s="41">
        <f t="shared" ref="BK34" si="39">BK35+BK36</f>
        <v>0</v>
      </c>
      <c r="BL34" s="41">
        <f t="shared" ref="BL34" si="40">BL35+BL36</f>
        <v>0</v>
      </c>
      <c r="BM34" s="41">
        <f t="shared" ref="BM34" si="41">BM35+BM36</f>
        <v>0</v>
      </c>
      <c r="BN34" s="41">
        <f t="shared" ref="BN34" si="42">BN35+BN36</f>
        <v>0</v>
      </c>
      <c r="BO34" s="41">
        <f t="shared" ref="BO34" si="43">BO35+BO36</f>
        <v>0</v>
      </c>
      <c r="BP34" s="41">
        <f t="shared" ref="BP34" si="44">BP35+BP36</f>
        <v>0</v>
      </c>
      <c r="BQ34" s="41">
        <f t="shared" ref="BQ34" si="45">BQ35+BQ36</f>
        <v>0</v>
      </c>
      <c r="BR34" s="41">
        <f t="shared" ref="BR34" si="46">BR35+BR36</f>
        <v>0</v>
      </c>
      <c r="BS34" s="41">
        <f t="shared" ref="BS34" si="47">BS35+BS36</f>
        <v>0</v>
      </c>
      <c r="BT34" s="41">
        <f t="shared" ref="BT34" si="48">BT35+BT36</f>
        <v>0</v>
      </c>
      <c r="BU34" s="41">
        <f t="shared" ref="BU34" si="49">BU35+BU36</f>
        <v>0</v>
      </c>
      <c r="BV34" s="41">
        <f t="shared" ref="BV34" si="50">BV35+BV36</f>
        <v>0</v>
      </c>
      <c r="BW34" s="41" t="s">
        <v>161</v>
      </c>
    </row>
    <row r="35" spans="1:75" s="17" customFormat="1" ht="78.75" hidden="1" x14ac:dyDescent="0.25">
      <c r="A35" s="42" t="s">
        <v>92</v>
      </c>
      <c r="B35" s="43" t="s">
        <v>93</v>
      </c>
      <c r="C35" s="41" t="s">
        <v>161</v>
      </c>
      <c r="D35" s="41" t="s">
        <v>161</v>
      </c>
      <c r="E35" s="41" t="s">
        <v>161</v>
      </c>
      <c r="F35" s="41" t="s">
        <v>161</v>
      </c>
      <c r="G35" s="41" t="s">
        <v>161</v>
      </c>
      <c r="H35" s="44">
        <v>0</v>
      </c>
      <c r="I35" s="44">
        <v>0</v>
      </c>
      <c r="J35" s="41" t="s">
        <v>161</v>
      </c>
      <c r="K35" s="44">
        <v>0</v>
      </c>
      <c r="L35" s="44">
        <v>0</v>
      </c>
      <c r="M35" s="41" t="s">
        <v>161</v>
      </c>
      <c r="N35" s="41" t="s">
        <v>161</v>
      </c>
      <c r="O35" s="41" t="s">
        <v>161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1" t="s">
        <v>161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3"/>
      <c r="BO35" s="13"/>
      <c r="BP35" s="13"/>
      <c r="BQ35" s="13"/>
      <c r="BR35" s="18"/>
      <c r="BS35" s="13"/>
      <c r="BT35" s="13"/>
      <c r="BU35" s="13"/>
      <c r="BV35" s="13"/>
      <c r="BW35" s="41" t="s">
        <v>161</v>
      </c>
    </row>
    <row r="36" spans="1:75" s="17" customFormat="1" ht="47.25" hidden="1" x14ac:dyDescent="0.25">
      <c r="A36" s="42" t="s">
        <v>94</v>
      </c>
      <c r="B36" s="43" t="s">
        <v>95</v>
      </c>
      <c r="C36" s="41" t="s">
        <v>161</v>
      </c>
      <c r="D36" s="41" t="s">
        <v>161</v>
      </c>
      <c r="E36" s="41" t="s">
        <v>161</v>
      </c>
      <c r="F36" s="41" t="s">
        <v>161</v>
      </c>
      <c r="G36" s="41" t="s">
        <v>161</v>
      </c>
      <c r="H36" s="44">
        <v>0</v>
      </c>
      <c r="I36" s="44">
        <v>0</v>
      </c>
      <c r="J36" s="41" t="s">
        <v>161</v>
      </c>
      <c r="K36" s="44">
        <v>0</v>
      </c>
      <c r="L36" s="44">
        <v>0</v>
      </c>
      <c r="M36" s="41" t="s">
        <v>161</v>
      </c>
      <c r="N36" s="41" t="s">
        <v>161</v>
      </c>
      <c r="O36" s="41" t="s">
        <v>161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1" t="s">
        <v>161</v>
      </c>
      <c r="X36" s="41" t="s">
        <v>161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3"/>
      <c r="BO36" s="13"/>
      <c r="BP36" s="13"/>
      <c r="BQ36" s="13"/>
      <c r="BR36" s="18"/>
      <c r="BS36" s="13"/>
      <c r="BT36" s="13"/>
      <c r="BU36" s="13"/>
      <c r="BV36" s="13"/>
      <c r="BW36" s="41" t="s">
        <v>161</v>
      </c>
    </row>
    <row r="37" spans="1:75" s="17" customFormat="1" ht="47.25" x14ac:dyDescent="0.25">
      <c r="A37" s="42" t="s">
        <v>96</v>
      </c>
      <c r="B37" s="43" t="s">
        <v>97</v>
      </c>
      <c r="C37" s="41" t="s">
        <v>161</v>
      </c>
      <c r="D37" s="41" t="s">
        <v>161</v>
      </c>
      <c r="E37" s="41" t="s">
        <v>161</v>
      </c>
      <c r="F37" s="41" t="s">
        <v>161</v>
      </c>
      <c r="G37" s="41" t="s">
        <v>161</v>
      </c>
      <c r="H37" s="44">
        <v>0</v>
      </c>
      <c r="I37" s="44">
        <v>0</v>
      </c>
      <c r="J37" s="41" t="s">
        <v>161</v>
      </c>
      <c r="K37" s="44" t="s">
        <v>161</v>
      </c>
      <c r="L37" s="44">
        <v>0</v>
      </c>
      <c r="M37" s="41" t="s">
        <v>161</v>
      </c>
      <c r="N37" s="41" t="s">
        <v>161</v>
      </c>
      <c r="O37" s="41" t="s">
        <v>161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1" t="s">
        <v>161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3"/>
      <c r="BO37" s="13"/>
      <c r="BP37" s="13"/>
      <c r="BQ37" s="13"/>
      <c r="BR37" s="18"/>
      <c r="BS37" s="13"/>
      <c r="BT37" s="13"/>
      <c r="BU37" s="13"/>
      <c r="BV37" s="13"/>
      <c r="BW37" s="41" t="s">
        <v>161</v>
      </c>
    </row>
    <row r="38" spans="1:75" s="17" customFormat="1" ht="31.5" hidden="1" x14ac:dyDescent="0.25">
      <c r="A38" s="42" t="s">
        <v>98</v>
      </c>
      <c r="B38" s="43" t="s">
        <v>99</v>
      </c>
      <c r="C38" s="41" t="s">
        <v>161</v>
      </c>
      <c r="D38" s="41" t="s">
        <v>161</v>
      </c>
      <c r="E38" s="41" t="s">
        <v>161</v>
      </c>
      <c r="F38" s="41" t="s">
        <v>161</v>
      </c>
      <c r="G38" s="41" t="s">
        <v>161</v>
      </c>
      <c r="H38" s="44">
        <v>0</v>
      </c>
      <c r="I38" s="44">
        <v>0</v>
      </c>
      <c r="J38" s="41" t="s">
        <v>161</v>
      </c>
      <c r="K38" s="44">
        <v>0</v>
      </c>
      <c r="L38" s="44">
        <v>0</v>
      </c>
      <c r="M38" s="41" t="s">
        <v>161</v>
      </c>
      <c r="N38" s="41" t="s">
        <v>161</v>
      </c>
      <c r="O38" s="41" t="s">
        <v>161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1" t="s">
        <v>161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3"/>
      <c r="BO38" s="13"/>
      <c r="BP38" s="13"/>
      <c r="BQ38" s="13"/>
      <c r="BR38" s="18"/>
      <c r="BS38" s="13"/>
      <c r="BT38" s="13"/>
      <c r="BU38" s="13"/>
      <c r="BV38" s="13"/>
      <c r="BW38" s="41" t="s">
        <v>161</v>
      </c>
    </row>
    <row r="39" spans="1:75" s="17" customFormat="1" ht="110.25" hidden="1" x14ac:dyDescent="0.25">
      <c r="A39" s="42" t="s">
        <v>98</v>
      </c>
      <c r="B39" s="43" t="s">
        <v>100</v>
      </c>
      <c r="C39" s="41" t="s">
        <v>161</v>
      </c>
      <c r="D39" s="41" t="s">
        <v>161</v>
      </c>
      <c r="E39" s="41" t="s">
        <v>161</v>
      </c>
      <c r="F39" s="41" t="s">
        <v>161</v>
      </c>
      <c r="G39" s="41" t="s">
        <v>161</v>
      </c>
      <c r="H39" s="44">
        <v>0</v>
      </c>
      <c r="I39" s="44">
        <v>0</v>
      </c>
      <c r="J39" s="41" t="s">
        <v>161</v>
      </c>
      <c r="K39" s="44">
        <v>0</v>
      </c>
      <c r="L39" s="44">
        <v>0</v>
      </c>
      <c r="M39" s="41" t="s">
        <v>161</v>
      </c>
      <c r="N39" s="41" t="s">
        <v>161</v>
      </c>
      <c r="O39" s="41" t="s">
        <v>161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1" t="s">
        <v>161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3"/>
      <c r="BO39" s="13"/>
      <c r="BP39" s="13"/>
      <c r="BQ39" s="13"/>
      <c r="BR39" s="18"/>
      <c r="BS39" s="13"/>
      <c r="BT39" s="13"/>
      <c r="BU39" s="13"/>
      <c r="BV39" s="13"/>
      <c r="BW39" s="41" t="s">
        <v>161</v>
      </c>
    </row>
    <row r="40" spans="1:75" s="17" customFormat="1" ht="94.5" hidden="1" x14ac:dyDescent="0.25">
      <c r="A40" s="42" t="s">
        <v>98</v>
      </c>
      <c r="B40" s="43" t="s">
        <v>101</v>
      </c>
      <c r="C40" s="41" t="s">
        <v>161</v>
      </c>
      <c r="D40" s="41" t="s">
        <v>161</v>
      </c>
      <c r="E40" s="41" t="s">
        <v>161</v>
      </c>
      <c r="F40" s="41" t="s">
        <v>161</v>
      </c>
      <c r="G40" s="41" t="s">
        <v>161</v>
      </c>
      <c r="H40" s="44">
        <v>0</v>
      </c>
      <c r="I40" s="44">
        <v>0</v>
      </c>
      <c r="J40" s="41" t="s">
        <v>161</v>
      </c>
      <c r="K40" s="44">
        <v>0</v>
      </c>
      <c r="L40" s="44">
        <v>0</v>
      </c>
      <c r="M40" s="41" t="s">
        <v>161</v>
      </c>
      <c r="N40" s="41" t="s">
        <v>161</v>
      </c>
      <c r="O40" s="41" t="s">
        <v>161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1" t="s">
        <v>161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3"/>
      <c r="BO40" s="13"/>
      <c r="BP40" s="13"/>
      <c r="BQ40" s="13"/>
      <c r="BR40" s="18"/>
      <c r="BS40" s="13"/>
      <c r="BT40" s="13"/>
      <c r="BU40" s="13"/>
      <c r="BV40" s="13"/>
      <c r="BW40" s="41" t="s">
        <v>161</v>
      </c>
    </row>
    <row r="41" spans="1:75" s="17" customFormat="1" ht="94.5" hidden="1" x14ac:dyDescent="0.25">
      <c r="A41" s="42" t="s">
        <v>98</v>
      </c>
      <c r="B41" s="43" t="s">
        <v>102</v>
      </c>
      <c r="C41" s="41" t="s">
        <v>161</v>
      </c>
      <c r="D41" s="41" t="s">
        <v>161</v>
      </c>
      <c r="E41" s="41" t="s">
        <v>161</v>
      </c>
      <c r="F41" s="41" t="s">
        <v>161</v>
      </c>
      <c r="G41" s="41" t="s">
        <v>161</v>
      </c>
      <c r="H41" s="44">
        <v>0</v>
      </c>
      <c r="I41" s="44">
        <v>0</v>
      </c>
      <c r="J41" s="41" t="s">
        <v>161</v>
      </c>
      <c r="K41" s="44">
        <v>0</v>
      </c>
      <c r="L41" s="44">
        <v>0</v>
      </c>
      <c r="M41" s="41" t="s">
        <v>161</v>
      </c>
      <c r="N41" s="41" t="s">
        <v>161</v>
      </c>
      <c r="O41" s="41" t="s">
        <v>161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1" t="s">
        <v>161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3"/>
      <c r="BO41" s="13"/>
      <c r="BP41" s="13"/>
      <c r="BQ41" s="13"/>
      <c r="BR41" s="18"/>
      <c r="BS41" s="13"/>
      <c r="BT41" s="13"/>
      <c r="BU41" s="13"/>
      <c r="BV41" s="13"/>
      <c r="BW41" s="41" t="s">
        <v>161</v>
      </c>
    </row>
    <row r="42" spans="1:75" s="17" customFormat="1" ht="31.5" hidden="1" x14ac:dyDescent="0.25">
      <c r="A42" s="42" t="s">
        <v>103</v>
      </c>
      <c r="B42" s="43" t="s">
        <v>99</v>
      </c>
      <c r="C42" s="41" t="s">
        <v>161</v>
      </c>
      <c r="D42" s="41" t="s">
        <v>161</v>
      </c>
      <c r="E42" s="41" t="s">
        <v>161</v>
      </c>
      <c r="F42" s="41" t="s">
        <v>161</v>
      </c>
      <c r="G42" s="41" t="s">
        <v>161</v>
      </c>
      <c r="H42" s="44">
        <v>0</v>
      </c>
      <c r="I42" s="44">
        <v>0</v>
      </c>
      <c r="J42" s="41" t="s">
        <v>161</v>
      </c>
      <c r="K42" s="44">
        <v>0</v>
      </c>
      <c r="L42" s="44">
        <v>0</v>
      </c>
      <c r="M42" s="41" t="s">
        <v>161</v>
      </c>
      <c r="N42" s="41" t="s">
        <v>161</v>
      </c>
      <c r="O42" s="41" t="s">
        <v>161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1" t="s">
        <v>161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3"/>
      <c r="BO42" s="13"/>
      <c r="BP42" s="13"/>
      <c r="BQ42" s="13"/>
      <c r="BR42" s="18"/>
      <c r="BS42" s="13"/>
      <c r="BT42" s="13"/>
      <c r="BU42" s="13"/>
      <c r="BV42" s="13"/>
      <c r="BW42" s="41" t="s">
        <v>161</v>
      </c>
    </row>
    <row r="43" spans="1:75" s="17" customFormat="1" ht="110.25" hidden="1" x14ac:dyDescent="0.25">
      <c r="A43" s="42" t="s">
        <v>103</v>
      </c>
      <c r="B43" s="43" t="s">
        <v>100</v>
      </c>
      <c r="C43" s="41" t="s">
        <v>161</v>
      </c>
      <c r="D43" s="41" t="s">
        <v>161</v>
      </c>
      <c r="E43" s="41" t="s">
        <v>161</v>
      </c>
      <c r="F43" s="41" t="s">
        <v>161</v>
      </c>
      <c r="G43" s="41" t="s">
        <v>161</v>
      </c>
      <c r="H43" s="44">
        <v>0</v>
      </c>
      <c r="I43" s="44">
        <v>0</v>
      </c>
      <c r="J43" s="41" t="s">
        <v>161</v>
      </c>
      <c r="K43" s="44">
        <v>0</v>
      </c>
      <c r="L43" s="44">
        <v>0</v>
      </c>
      <c r="M43" s="41" t="s">
        <v>161</v>
      </c>
      <c r="N43" s="41" t="s">
        <v>161</v>
      </c>
      <c r="O43" s="41" t="s">
        <v>161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1" t="s">
        <v>161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3"/>
      <c r="BO43" s="13"/>
      <c r="BP43" s="13"/>
      <c r="BQ43" s="13"/>
      <c r="BR43" s="18"/>
      <c r="BS43" s="13"/>
      <c r="BT43" s="13"/>
      <c r="BU43" s="13"/>
      <c r="BV43" s="13"/>
      <c r="BW43" s="41" t="s">
        <v>161</v>
      </c>
    </row>
    <row r="44" spans="1:75" s="17" customFormat="1" ht="94.5" hidden="1" x14ac:dyDescent="0.25">
      <c r="A44" s="42" t="s">
        <v>103</v>
      </c>
      <c r="B44" s="43" t="s">
        <v>101</v>
      </c>
      <c r="C44" s="41" t="s">
        <v>161</v>
      </c>
      <c r="D44" s="41" t="s">
        <v>161</v>
      </c>
      <c r="E44" s="41" t="s">
        <v>161</v>
      </c>
      <c r="F44" s="41" t="s">
        <v>161</v>
      </c>
      <c r="G44" s="41" t="s">
        <v>161</v>
      </c>
      <c r="H44" s="44">
        <v>0</v>
      </c>
      <c r="I44" s="44">
        <v>0</v>
      </c>
      <c r="J44" s="41" t="s">
        <v>161</v>
      </c>
      <c r="K44" s="44">
        <v>0</v>
      </c>
      <c r="L44" s="44">
        <v>0</v>
      </c>
      <c r="M44" s="41" t="s">
        <v>161</v>
      </c>
      <c r="N44" s="41" t="s">
        <v>161</v>
      </c>
      <c r="O44" s="41" t="s">
        <v>161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1" t="s">
        <v>161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3"/>
      <c r="BO44" s="13"/>
      <c r="BP44" s="13"/>
      <c r="BQ44" s="13"/>
      <c r="BR44" s="18"/>
      <c r="BS44" s="13"/>
      <c r="BT44" s="13"/>
      <c r="BU44" s="13"/>
      <c r="BV44" s="13"/>
      <c r="BW44" s="41" t="s">
        <v>161</v>
      </c>
    </row>
    <row r="45" spans="1:75" s="17" customFormat="1" ht="94.5" hidden="1" x14ac:dyDescent="0.25">
      <c r="A45" s="42" t="s">
        <v>103</v>
      </c>
      <c r="B45" s="43" t="s">
        <v>104</v>
      </c>
      <c r="C45" s="41" t="s">
        <v>161</v>
      </c>
      <c r="D45" s="41" t="s">
        <v>161</v>
      </c>
      <c r="E45" s="41" t="s">
        <v>161</v>
      </c>
      <c r="F45" s="41" t="s">
        <v>161</v>
      </c>
      <c r="G45" s="41" t="s">
        <v>161</v>
      </c>
      <c r="H45" s="44">
        <v>0</v>
      </c>
      <c r="I45" s="44">
        <v>0</v>
      </c>
      <c r="J45" s="41" t="s">
        <v>161</v>
      </c>
      <c r="K45" s="44">
        <v>0</v>
      </c>
      <c r="L45" s="44">
        <v>0</v>
      </c>
      <c r="M45" s="41" t="s">
        <v>161</v>
      </c>
      <c r="N45" s="41" t="s">
        <v>161</v>
      </c>
      <c r="O45" s="41" t="s">
        <v>161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1" t="s">
        <v>161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3"/>
      <c r="BO45" s="13"/>
      <c r="BP45" s="13"/>
      <c r="BQ45" s="13"/>
      <c r="BR45" s="18"/>
      <c r="BS45" s="13"/>
      <c r="BT45" s="13"/>
      <c r="BU45" s="13"/>
      <c r="BV45" s="13"/>
      <c r="BW45" s="41" t="s">
        <v>161</v>
      </c>
    </row>
    <row r="46" spans="1:75" s="17" customFormat="1" ht="94.5" x14ac:dyDescent="0.25">
      <c r="A46" s="42" t="s">
        <v>105</v>
      </c>
      <c r="B46" s="43" t="s">
        <v>106</v>
      </c>
      <c r="C46" s="44" t="s">
        <v>167</v>
      </c>
      <c r="D46" s="41" t="s">
        <v>161</v>
      </c>
      <c r="E46" s="41" t="s">
        <v>161</v>
      </c>
      <c r="F46" s="41" t="s">
        <v>161</v>
      </c>
      <c r="G46" s="41" t="s">
        <v>161</v>
      </c>
      <c r="H46" s="44">
        <v>0</v>
      </c>
      <c r="I46" s="44">
        <f>I47</f>
        <v>0</v>
      </c>
      <c r="J46" s="41" t="s">
        <v>161</v>
      </c>
      <c r="K46" s="44">
        <v>0</v>
      </c>
      <c r="L46" s="44">
        <v>0</v>
      </c>
      <c r="M46" s="41" t="s">
        <v>161</v>
      </c>
      <c r="N46" s="44">
        <f t="shared" ref="N46:AH47" si="51">N47</f>
        <v>0</v>
      </c>
      <c r="O46" s="44">
        <f t="shared" si="51"/>
        <v>0</v>
      </c>
      <c r="P46" s="44">
        <f t="shared" si="51"/>
        <v>172.62767961904319</v>
      </c>
      <c r="Q46" s="44">
        <f t="shared" si="51"/>
        <v>183.27792968367567</v>
      </c>
      <c r="R46" s="44">
        <f t="shared" si="51"/>
        <v>172.62767961904319</v>
      </c>
      <c r="S46" s="44">
        <f t="shared" si="51"/>
        <v>183.27792968367567</v>
      </c>
      <c r="T46" s="44">
        <f t="shared" si="51"/>
        <v>180.39878846031999</v>
      </c>
      <c r="U46" s="44">
        <f t="shared" si="51"/>
        <v>180.39878846031999</v>
      </c>
      <c r="V46" s="44">
        <f t="shared" si="51"/>
        <v>180.39878846031999</v>
      </c>
      <c r="W46" s="44" t="str">
        <f t="shared" si="51"/>
        <v>нд</v>
      </c>
      <c r="X46" s="44">
        <f t="shared" si="51"/>
        <v>180.39878846031999</v>
      </c>
      <c r="Y46" s="44">
        <f t="shared" si="51"/>
        <v>52.931240000000003</v>
      </c>
      <c r="Z46" s="44">
        <f t="shared" si="51"/>
        <v>0</v>
      </c>
      <c r="AA46" s="44">
        <f t="shared" si="51"/>
        <v>0</v>
      </c>
      <c r="AB46" s="44">
        <f t="shared" si="51"/>
        <v>52.931240000000003</v>
      </c>
      <c r="AC46" s="44">
        <f t="shared" si="51"/>
        <v>0</v>
      </c>
      <c r="AD46" s="44">
        <f t="shared" si="51"/>
        <v>52.931240000000003</v>
      </c>
      <c r="AE46" s="44">
        <f t="shared" si="51"/>
        <v>0</v>
      </c>
      <c r="AF46" s="44">
        <f t="shared" si="51"/>
        <v>0</v>
      </c>
      <c r="AG46" s="44">
        <f t="shared" si="51"/>
        <v>52.931240000000003</v>
      </c>
      <c r="AH46" s="44">
        <v>0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3"/>
      <c r="BO46" s="13"/>
      <c r="BP46" s="13"/>
      <c r="BQ46" s="13"/>
      <c r="BR46" s="18"/>
      <c r="BS46" s="13"/>
      <c r="BT46" s="13"/>
      <c r="BU46" s="13"/>
      <c r="BV46" s="13"/>
      <c r="BW46" s="41" t="s">
        <v>161</v>
      </c>
    </row>
    <row r="47" spans="1:75" s="17" customFormat="1" ht="78.75" x14ac:dyDescent="0.25">
      <c r="A47" s="42" t="s">
        <v>107</v>
      </c>
      <c r="B47" s="43" t="s">
        <v>108</v>
      </c>
      <c r="C47" s="41" t="s">
        <v>167</v>
      </c>
      <c r="D47" s="41" t="s">
        <v>161</v>
      </c>
      <c r="E47" s="41" t="s">
        <v>161</v>
      </c>
      <c r="F47" s="41" t="s">
        <v>161</v>
      </c>
      <c r="G47" s="41" t="s">
        <v>161</v>
      </c>
      <c r="H47" s="41" t="s">
        <v>161</v>
      </c>
      <c r="I47" s="44">
        <f>I48</f>
        <v>0</v>
      </c>
      <c r="J47" s="41" t="s">
        <v>161</v>
      </c>
      <c r="K47" s="44">
        <v>0</v>
      </c>
      <c r="L47" s="44">
        <v>0</v>
      </c>
      <c r="M47" s="41" t="s">
        <v>161</v>
      </c>
      <c r="N47" s="44">
        <f t="shared" si="51"/>
        <v>0</v>
      </c>
      <c r="O47" s="44">
        <f t="shared" si="51"/>
        <v>0</v>
      </c>
      <c r="P47" s="44">
        <f t="shared" si="51"/>
        <v>172.62767961904319</v>
      </c>
      <c r="Q47" s="44">
        <f t="shared" si="51"/>
        <v>183.27792968367567</v>
      </c>
      <c r="R47" s="44">
        <f t="shared" si="51"/>
        <v>172.62767961904319</v>
      </c>
      <c r="S47" s="44">
        <f t="shared" si="51"/>
        <v>183.27792968367567</v>
      </c>
      <c r="T47" s="44">
        <f t="shared" si="51"/>
        <v>180.39878846031999</v>
      </c>
      <c r="U47" s="44">
        <f t="shared" si="51"/>
        <v>180.39878846031999</v>
      </c>
      <c r="V47" s="44">
        <f t="shared" si="51"/>
        <v>180.39878846031999</v>
      </c>
      <c r="W47" s="44" t="str">
        <f t="shared" si="51"/>
        <v>нд</v>
      </c>
      <c r="X47" s="44">
        <f t="shared" si="51"/>
        <v>180.39878846031999</v>
      </c>
      <c r="Y47" s="44">
        <f t="shared" si="51"/>
        <v>52.931240000000003</v>
      </c>
      <c r="Z47" s="44">
        <f t="shared" si="51"/>
        <v>0</v>
      </c>
      <c r="AA47" s="44">
        <f t="shared" si="51"/>
        <v>0</v>
      </c>
      <c r="AB47" s="44">
        <f t="shared" si="51"/>
        <v>52.931240000000003</v>
      </c>
      <c r="AC47" s="44">
        <f t="shared" si="51"/>
        <v>0</v>
      </c>
      <c r="AD47" s="44">
        <f t="shared" si="51"/>
        <v>52.931240000000003</v>
      </c>
      <c r="AE47" s="44">
        <f t="shared" si="51"/>
        <v>0</v>
      </c>
      <c r="AF47" s="44">
        <f t="shared" si="51"/>
        <v>0</v>
      </c>
      <c r="AG47" s="44">
        <f t="shared" si="51"/>
        <v>52.931240000000003</v>
      </c>
      <c r="AH47" s="44" t="str">
        <f t="shared" si="51"/>
        <v>нд</v>
      </c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3"/>
      <c r="BO47" s="13"/>
      <c r="BP47" s="13"/>
      <c r="BQ47" s="13"/>
      <c r="BR47" s="18"/>
      <c r="BS47" s="13"/>
      <c r="BT47" s="13"/>
      <c r="BU47" s="13"/>
      <c r="BV47" s="13"/>
      <c r="BW47" s="41" t="s">
        <v>161</v>
      </c>
    </row>
    <row r="48" spans="1:75" s="17" customFormat="1" ht="31.5" x14ac:dyDescent="0.25">
      <c r="A48" s="45" t="s">
        <v>232</v>
      </c>
      <c r="B48" s="46" t="s">
        <v>234</v>
      </c>
      <c r="C48" s="54" t="s">
        <v>233</v>
      </c>
      <c r="D48" s="41" t="s">
        <v>168</v>
      </c>
      <c r="E48" s="41">
        <v>2019</v>
      </c>
      <c r="F48" s="41">
        <v>2019</v>
      </c>
      <c r="G48" s="41">
        <v>2019</v>
      </c>
      <c r="H48" s="44">
        <v>0</v>
      </c>
      <c r="I48" s="44">
        <v>0</v>
      </c>
      <c r="J48" s="41" t="s">
        <v>161</v>
      </c>
      <c r="K48" s="41" t="s">
        <v>161</v>
      </c>
      <c r="L48" s="41" t="s">
        <v>161</v>
      </c>
      <c r="M48" s="41" t="s">
        <v>161</v>
      </c>
      <c r="N48" s="44">
        <v>0</v>
      </c>
      <c r="O48" s="44">
        <v>0</v>
      </c>
      <c r="P48" s="44">
        <f>R48</f>
        <v>172.62767961904319</v>
      </c>
      <c r="Q48" s="44">
        <f>S48</f>
        <v>183.27792968367567</v>
      </c>
      <c r="R48" s="44">
        <v>172.62767961904319</v>
      </c>
      <c r="S48" s="44">
        <v>183.27792968367567</v>
      </c>
      <c r="T48" s="44">
        <f>U48</f>
        <v>180.39878846031999</v>
      </c>
      <c r="U48" s="44">
        <v>180.39878846031999</v>
      </c>
      <c r="V48" s="44">
        <f>X48</f>
        <v>180.39878846031999</v>
      </c>
      <c r="W48" s="41" t="s">
        <v>161</v>
      </c>
      <c r="X48" s="44">
        <f>U48</f>
        <v>180.39878846031999</v>
      </c>
      <c r="Y48" s="44">
        <f>AB48</f>
        <v>52.931240000000003</v>
      </c>
      <c r="Z48" s="44">
        <v>0</v>
      </c>
      <c r="AA48" s="44">
        <v>0</v>
      </c>
      <c r="AB48" s="44">
        <v>52.931240000000003</v>
      </c>
      <c r="AC48" s="44">
        <v>0</v>
      </c>
      <c r="AD48" s="44">
        <f>Y48</f>
        <v>52.931240000000003</v>
      </c>
      <c r="AE48" s="44">
        <v>0</v>
      </c>
      <c r="AF48" s="44">
        <v>0</v>
      </c>
      <c r="AG48" s="44">
        <f>AB48</f>
        <v>52.931240000000003</v>
      </c>
      <c r="AH48" s="44" t="s">
        <v>161</v>
      </c>
      <c r="AI48" s="41" t="s">
        <v>161</v>
      </c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3"/>
      <c r="BO48" s="13"/>
      <c r="BP48" s="13"/>
      <c r="BQ48" s="13"/>
      <c r="BR48" s="18"/>
      <c r="BS48" s="13"/>
      <c r="BT48" s="13"/>
      <c r="BU48" s="13"/>
      <c r="BV48" s="13"/>
      <c r="BW48" s="47" t="s">
        <v>161</v>
      </c>
    </row>
    <row r="49" spans="1:75" s="17" customFormat="1" ht="78.75" x14ac:dyDescent="0.25">
      <c r="A49" s="42" t="s">
        <v>109</v>
      </c>
      <c r="B49" s="43" t="s">
        <v>110</v>
      </c>
      <c r="C49" s="41" t="s">
        <v>161</v>
      </c>
      <c r="D49" s="41" t="s">
        <v>161</v>
      </c>
      <c r="E49" s="41" t="s">
        <v>161</v>
      </c>
      <c r="F49" s="41" t="s">
        <v>161</v>
      </c>
      <c r="G49" s="41" t="s">
        <v>161</v>
      </c>
      <c r="H49" s="41" t="s">
        <v>161</v>
      </c>
      <c r="I49" s="41" t="s">
        <v>161</v>
      </c>
      <c r="J49" s="41" t="s">
        <v>161</v>
      </c>
      <c r="K49" s="41" t="s">
        <v>161</v>
      </c>
      <c r="L49" s="41" t="s">
        <v>161</v>
      </c>
      <c r="M49" s="41" t="s">
        <v>161</v>
      </c>
      <c r="N49" s="41" t="s">
        <v>161</v>
      </c>
      <c r="O49" s="41" t="s">
        <v>161</v>
      </c>
      <c r="P49" s="41" t="s">
        <v>161</v>
      </c>
      <c r="Q49" s="41" t="s">
        <v>161</v>
      </c>
      <c r="R49" s="41" t="s">
        <v>161</v>
      </c>
      <c r="S49" s="41" t="s">
        <v>161</v>
      </c>
      <c r="T49" s="41" t="s">
        <v>161</v>
      </c>
      <c r="U49" s="41" t="s">
        <v>161</v>
      </c>
      <c r="V49" s="44">
        <v>0</v>
      </c>
      <c r="W49" s="41" t="s">
        <v>161</v>
      </c>
      <c r="X49" s="41" t="s">
        <v>161</v>
      </c>
      <c r="Y49" s="41" t="s">
        <v>161</v>
      </c>
      <c r="Z49" s="44">
        <v>0</v>
      </c>
      <c r="AA49" s="44">
        <v>0</v>
      </c>
      <c r="AB49" s="41" t="s">
        <v>161</v>
      </c>
      <c r="AC49" s="44">
        <v>0</v>
      </c>
      <c r="AD49" s="41" t="s">
        <v>161</v>
      </c>
      <c r="AE49" s="44">
        <v>0</v>
      </c>
      <c r="AF49" s="44">
        <v>0</v>
      </c>
      <c r="AG49" s="41" t="s">
        <v>161</v>
      </c>
      <c r="AH49" s="44">
        <v>0</v>
      </c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3"/>
      <c r="BO49" s="13"/>
      <c r="BP49" s="13"/>
      <c r="BQ49" s="13"/>
      <c r="BR49" s="18"/>
      <c r="BS49" s="13"/>
      <c r="BT49" s="13"/>
      <c r="BU49" s="13"/>
      <c r="BV49" s="13"/>
      <c r="BW49" s="41" t="s">
        <v>161</v>
      </c>
    </row>
    <row r="50" spans="1:75" s="17" customFormat="1" ht="47.25" x14ac:dyDescent="0.25">
      <c r="A50" s="42" t="s">
        <v>111</v>
      </c>
      <c r="B50" s="43" t="s">
        <v>112</v>
      </c>
      <c r="C50" s="41" t="s">
        <v>167</v>
      </c>
      <c r="D50" s="41" t="s">
        <v>161</v>
      </c>
      <c r="E50" s="41" t="s">
        <v>161</v>
      </c>
      <c r="F50" s="41" t="s">
        <v>161</v>
      </c>
      <c r="G50" s="41" t="s">
        <v>161</v>
      </c>
      <c r="H50" s="44">
        <f>H51</f>
        <v>11.390026968394675</v>
      </c>
      <c r="I50" s="44">
        <f t="shared" ref="I50:X50" si="52">I51</f>
        <v>63.379441089015998</v>
      </c>
      <c r="J50" s="44" t="str">
        <f t="shared" si="52"/>
        <v>нд</v>
      </c>
      <c r="K50" s="44">
        <f t="shared" si="52"/>
        <v>8.6645173563282061</v>
      </c>
      <c r="L50" s="44">
        <f t="shared" si="52"/>
        <v>57.991306625205993</v>
      </c>
      <c r="M50" s="44" t="str">
        <f t="shared" si="52"/>
        <v>нд</v>
      </c>
      <c r="N50" s="41" t="s">
        <v>161</v>
      </c>
      <c r="O50" s="44">
        <f t="shared" si="52"/>
        <v>1.0447050231999999</v>
      </c>
      <c r="P50" s="44">
        <f t="shared" si="52"/>
        <v>96.891193514927579</v>
      </c>
      <c r="Q50" s="44">
        <f t="shared" si="52"/>
        <v>102.86888748771294</v>
      </c>
      <c r="R50" s="44">
        <f t="shared" si="52"/>
        <v>49.141032783109971</v>
      </c>
      <c r="S50" s="44">
        <f t="shared" si="52"/>
        <v>52.172784636169645</v>
      </c>
      <c r="T50" s="44">
        <f t="shared" si="52"/>
        <v>72.004293763591392</v>
      </c>
      <c r="U50" s="44">
        <f t="shared" si="52"/>
        <v>60.608558411067321</v>
      </c>
      <c r="V50" s="44">
        <v>0</v>
      </c>
      <c r="W50" s="44" t="e">
        <f t="shared" si="52"/>
        <v>#REF!</v>
      </c>
      <c r="X50" s="44">
        <f t="shared" si="52"/>
        <v>60.282773391067323</v>
      </c>
      <c r="Y50" s="44">
        <f>Y51</f>
        <v>89.821728554279503</v>
      </c>
      <c r="Z50" s="44">
        <f t="shared" ref="Z50:AB50" si="53">Z51</f>
        <v>0</v>
      </c>
      <c r="AA50" s="44">
        <f t="shared" si="53"/>
        <v>0</v>
      </c>
      <c r="AB50" s="44">
        <f t="shared" si="53"/>
        <v>89.821728554279503</v>
      </c>
      <c r="AC50" s="44">
        <v>0</v>
      </c>
      <c r="AD50" s="44">
        <f>AD51+AD69</f>
        <v>60.682630451067318</v>
      </c>
      <c r="AE50" s="44">
        <f t="shared" ref="AE50:AG50" si="54">AE51+AE69</f>
        <v>0</v>
      </c>
      <c r="AF50" s="44">
        <f t="shared" si="54"/>
        <v>0</v>
      </c>
      <c r="AG50" s="44">
        <f t="shared" si="54"/>
        <v>60.682630451067318</v>
      </c>
      <c r="AH50" s="44">
        <v>0</v>
      </c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3"/>
      <c r="BO50" s="13"/>
      <c r="BP50" s="13"/>
      <c r="BQ50" s="13"/>
      <c r="BR50" s="18"/>
      <c r="BS50" s="13"/>
      <c r="BT50" s="13"/>
      <c r="BU50" s="13"/>
      <c r="BV50" s="13"/>
      <c r="BW50" s="41" t="s">
        <v>161</v>
      </c>
    </row>
    <row r="51" spans="1:75" s="17" customFormat="1" ht="78.75" x14ac:dyDescent="0.25">
      <c r="A51" s="42" t="s">
        <v>113</v>
      </c>
      <c r="B51" s="43" t="s">
        <v>114</v>
      </c>
      <c r="C51" s="41" t="s">
        <v>167</v>
      </c>
      <c r="D51" s="41" t="s">
        <v>161</v>
      </c>
      <c r="E51" s="41" t="s">
        <v>161</v>
      </c>
      <c r="F51" s="41" t="s">
        <v>161</v>
      </c>
      <c r="G51" s="41" t="s">
        <v>161</v>
      </c>
      <c r="H51" s="44">
        <f>H52</f>
        <v>11.390026968394675</v>
      </c>
      <c r="I51" s="44">
        <f>I52</f>
        <v>63.379441089015998</v>
      </c>
      <c r="J51" s="44" t="s">
        <v>161</v>
      </c>
      <c r="K51" s="44">
        <f>K52+K57</f>
        <v>8.6645173563282061</v>
      </c>
      <c r="L51" s="44">
        <f>L52+L57</f>
        <v>57.991306625205993</v>
      </c>
      <c r="M51" s="44" t="s">
        <v>161</v>
      </c>
      <c r="N51" s="41" t="s">
        <v>161</v>
      </c>
      <c r="O51" s="44">
        <f>O52+O57</f>
        <v>1.0447050231999999</v>
      </c>
      <c r="P51" s="44">
        <f>P52</f>
        <v>96.891193514927579</v>
      </c>
      <c r="Q51" s="44">
        <f>Q52</f>
        <v>102.86888748771294</v>
      </c>
      <c r="R51" s="44">
        <f>R52</f>
        <v>49.141032783109971</v>
      </c>
      <c r="S51" s="44">
        <f>S52</f>
        <v>52.172784636169645</v>
      </c>
      <c r="T51" s="44">
        <f>T52</f>
        <v>72.004293763591392</v>
      </c>
      <c r="U51" s="44">
        <f>U52+U57</f>
        <v>60.608558411067321</v>
      </c>
      <c r="V51" s="44">
        <v>0</v>
      </c>
      <c r="W51" s="44" t="e">
        <f>W52+W57</f>
        <v>#REF!</v>
      </c>
      <c r="X51" s="44">
        <f>X52+X57</f>
        <v>60.282773391067323</v>
      </c>
      <c r="Y51" s="44">
        <f>Y52+Y57</f>
        <v>89.821728554279503</v>
      </c>
      <c r="Z51" s="44">
        <f t="shared" ref="Z51:AB51" si="55">Z52+Z57</f>
        <v>0</v>
      </c>
      <c r="AA51" s="44">
        <f t="shared" si="55"/>
        <v>0</v>
      </c>
      <c r="AB51" s="44">
        <f t="shared" si="55"/>
        <v>89.821728554279503</v>
      </c>
      <c r="AC51" s="44">
        <v>0</v>
      </c>
      <c r="AD51" s="44">
        <f>AD52+AD57</f>
        <v>58.49196645106732</v>
      </c>
      <c r="AE51" s="44">
        <f t="shared" ref="AE51:AH51" si="56">AE52+AE57</f>
        <v>0</v>
      </c>
      <c r="AF51" s="44">
        <f t="shared" si="56"/>
        <v>0</v>
      </c>
      <c r="AG51" s="44">
        <f t="shared" si="56"/>
        <v>58.49196645106732</v>
      </c>
      <c r="AH51" s="44">
        <f t="shared" si="56"/>
        <v>0</v>
      </c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3"/>
      <c r="BO51" s="13"/>
      <c r="BP51" s="13"/>
      <c r="BQ51" s="13"/>
      <c r="BR51" s="18"/>
      <c r="BS51" s="13"/>
      <c r="BT51" s="13"/>
      <c r="BU51" s="13"/>
      <c r="BV51" s="13"/>
      <c r="BW51" s="41" t="s">
        <v>161</v>
      </c>
    </row>
    <row r="52" spans="1:75" s="17" customFormat="1" ht="31.5" x14ac:dyDescent="0.25">
      <c r="A52" s="42" t="s">
        <v>115</v>
      </c>
      <c r="B52" s="43" t="s">
        <v>116</v>
      </c>
      <c r="C52" s="41" t="s">
        <v>167</v>
      </c>
      <c r="D52" s="41" t="s">
        <v>161</v>
      </c>
      <c r="E52" s="41" t="s">
        <v>161</v>
      </c>
      <c r="F52" s="41" t="s">
        <v>161</v>
      </c>
      <c r="G52" s="41" t="s">
        <v>161</v>
      </c>
      <c r="H52" s="44">
        <f>SUM(H53:H56)</f>
        <v>11.390026968394675</v>
      </c>
      <c r="I52" s="44">
        <f>SUM(I53:I56)</f>
        <v>63.379441089015998</v>
      </c>
      <c r="J52" s="44" t="s">
        <v>161</v>
      </c>
      <c r="K52" s="44">
        <f>SUM(K53:K56)</f>
        <v>6.7500626529876753</v>
      </c>
      <c r="L52" s="44">
        <f>SUM(L53:L56)</f>
        <v>37.652728868215995</v>
      </c>
      <c r="M52" s="44" t="s">
        <v>161</v>
      </c>
      <c r="N52" s="41" t="s">
        <v>161</v>
      </c>
      <c r="O52" s="44">
        <f t="shared" ref="O52:AH52" si="57">SUM(O53:O56)</f>
        <v>1.0447050231999999</v>
      </c>
      <c r="P52" s="44">
        <f t="shared" si="57"/>
        <v>96.891193514927579</v>
      </c>
      <c r="Q52" s="44">
        <f t="shared" si="57"/>
        <v>102.86888748771294</v>
      </c>
      <c r="R52" s="44">
        <f t="shared" si="57"/>
        <v>49.141032783109971</v>
      </c>
      <c r="S52" s="44">
        <f t="shared" si="57"/>
        <v>52.172784636169645</v>
      </c>
      <c r="T52" s="44">
        <f t="shared" si="57"/>
        <v>72.004293763591392</v>
      </c>
      <c r="U52" s="44">
        <f t="shared" si="57"/>
        <v>39.955611657179183</v>
      </c>
      <c r="V52" s="44">
        <f t="shared" si="57"/>
        <v>39.629826637179185</v>
      </c>
      <c r="W52" s="44">
        <f t="shared" si="57"/>
        <v>0</v>
      </c>
      <c r="X52" s="44">
        <f t="shared" si="57"/>
        <v>39.629826637179185</v>
      </c>
      <c r="Y52" s="44">
        <f t="shared" si="57"/>
        <v>70.959588740391368</v>
      </c>
      <c r="Z52" s="44">
        <f t="shared" si="57"/>
        <v>0</v>
      </c>
      <c r="AA52" s="44">
        <f t="shared" si="57"/>
        <v>0</v>
      </c>
      <c r="AB52" s="44">
        <f t="shared" si="57"/>
        <v>70.959588740391368</v>
      </c>
      <c r="AC52" s="44">
        <f t="shared" si="57"/>
        <v>0</v>
      </c>
      <c r="AD52" s="44">
        <f t="shared" si="57"/>
        <v>39.629826637179185</v>
      </c>
      <c r="AE52" s="44">
        <f t="shared" si="57"/>
        <v>0</v>
      </c>
      <c r="AF52" s="44">
        <f t="shared" si="57"/>
        <v>0</v>
      </c>
      <c r="AG52" s="44">
        <f t="shared" si="57"/>
        <v>39.629826637179185</v>
      </c>
      <c r="AH52" s="44">
        <f t="shared" si="57"/>
        <v>0</v>
      </c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3"/>
      <c r="BO52" s="13"/>
      <c r="BP52" s="13"/>
      <c r="BQ52" s="13"/>
      <c r="BR52" s="18"/>
      <c r="BS52" s="13"/>
      <c r="BT52" s="13"/>
      <c r="BU52" s="13"/>
      <c r="BV52" s="13"/>
      <c r="BW52" s="41" t="s">
        <v>161</v>
      </c>
    </row>
    <row r="53" spans="1:75" s="17" customFormat="1" ht="94.5" x14ac:dyDescent="0.25">
      <c r="A53" s="45" t="s">
        <v>162</v>
      </c>
      <c r="B53" s="46" t="s">
        <v>202</v>
      </c>
      <c r="C53" s="34" t="s">
        <v>173</v>
      </c>
      <c r="D53" s="41" t="s">
        <v>166</v>
      </c>
      <c r="E53" s="41">
        <v>2019</v>
      </c>
      <c r="F53" s="41">
        <f>G53</f>
        <v>2019</v>
      </c>
      <c r="G53" s="41">
        <v>2019</v>
      </c>
      <c r="H53" s="44">
        <f>K53</f>
        <v>4.730697363926998</v>
      </c>
      <c r="I53" s="44">
        <f>L53</f>
        <v>27.277026444194995</v>
      </c>
      <c r="J53" s="44" t="str">
        <f>M53</f>
        <v>янв.2018г.</v>
      </c>
      <c r="K53" s="44">
        <f>(3.60152643*1.18+69.53002/1000*1.18+22.27798/1000*1.18+64.53132*1.18/1000+6.51506/1000*1.18)*1.065</f>
        <v>4.730697363926998</v>
      </c>
      <c r="L53" s="44">
        <f>(19.64244899*1.18+0.78040113*1.18+0.51791919*1.18+0.64164254*1.18+0.122869*1.18)*1.065</f>
        <v>27.277026444194995</v>
      </c>
      <c r="M53" s="48" t="s">
        <v>206</v>
      </c>
      <c r="N53" s="41" t="s">
        <v>161</v>
      </c>
      <c r="O53" s="44" t="s">
        <v>161</v>
      </c>
      <c r="P53" s="44">
        <f>R53</f>
        <v>49.141032783109971</v>
      </c>
      <c r="Q53" s="44">
        <f>S53</f>
        <v>52.172784636169645</v>
      </c>
      <c r="R53" s="44">
        <v>49.141032783109971</v>
      </c>
      <c r="S53" s="44">
        <v>52.172784636169645</v>
      </c>
      <c r="T53" s="44">
        <f>U53</f>
        <v>28.95988043305578</v>
      </c>
      <c r="U53" s="44">
        <f>((24.24428194+0.9632335+0.6392573+0.79196655+0.1516549)*1.065)/1.046*1.044/1.18*1.2</f>
        <v>28.95988043305578</v>
      </c>
      <c r="V53" s="44">
        <f>X53</f>
        <v>28.95988043305578</v>
      </c>
      <c r="W53" s="41"/>
      <c r="X53" s="44">
        <f>U53</f>
        <v>28.95988043305578</v>
      </c>
      <c r="Y53" s="44">
        <f>AD53</f>
        <v>28.95988043305578</v>
      </c>
      <c r="Z53" s="44">
        <v>0</v>
      </c>
      <c r="AA53" s="44">
        <v>0</v>
      </c>
      <c r="AB53" s="44">
        <f>AG53</f>
        <v>28.95988043305578</v>
      </c>
      <c r="AC53" s="44">
        <v>0</v>
      </c>
      <c r="AD53" s="44">
        <f>U53</f>
        <v>28.95988043305578</v>
      </c>
      <c r="AE53" s="44">
        <v>0</v>
      </c>
      <c r="AF53" s="44">
        <v>0</v>
      </c>
      <c r="AG53" s="44">
        <f>AD53</f>
        <v>28.95988043305578</v>
      </c>
      <c r="AH53" s="44">
        <v>0</v>
      </c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3"/>
      <c r="BO53" s="13"/>
      <c r="BP53" s="13"/>
      <c r="BQ53" s="13"/>
      <c r="BR53" s="18"/>
      <c r="BS53" s="13"/>
      <c r="BT53" s="13"/>
      <c r="BU53" s="13"/>
      <c r="BV53" s="13"/>
      <c r="BW53" s="41" t="s">
        <v>161</v>
      </c>
    </row>
    <row r="54" spans="1:75" s="17" customFormat="1" ht="47.25" x14ac:dyDescent="0.25">
      <c r="A54" s="45" t="s">
        <v>163</v>
      </c>
      <c r="B54" s="46" t="s">
        <v>201</v>
      </c>
      <c r="C54" s="34" t="s">
        <v>174</v>
      </c>
      <c r="D54" s="41" t="s">
        <v>168</v>
      </c>
      <c r="E54" s="41">
        <v>2016</v>
      </c>
      <c r="F54" s="41">
        <v>2019</v>
      </c>
      <c r="G54" s="41" t="s">
        <v>161</v>
      </c>
      <c r="H54" s="44">
        <v>4.6399643154070001</v>
      </c>
      <c r="I54" s="44">
        <v>25.7267122208</v>
      </c>
      <c r="J54" s="48" t="s">
        <v>206</v>
      </c>
      <c r="K54" s="44" t="s">
        <v>161</v>
      </c>
      <c r="L54" s="44" t="s">
        <v>161</v>
      </c>
      <c r="M54" s="48" t="s">
        <v>161</v>
      </c>
      <c r="N54" s="41" t="s">
        <v>161</v>
      </c>
      <c r="O54" s="44">
        <f>0.60925424*1.18</f>
        <v>0.71892000319999994</v>
      </c>
      <c r="P54" s="44">
        <v>47.750160731817601</v>
      </c>
      <c r="Q54" s="44">
        <v>50.696102851543294</v>
      </c>
      <c r="R54" s="44">
        <v>0</v>
      </c>
      <c r="S54" s="44">
        <v>0</v>
      </c>
      <c r="T54" s="44">
        <v>32.048682106412201</v>
      </c>
      <c r="U54" s="44">
        <v>0</v>
      </c>
      <c r="V54" s="44">
        <v>0</v>
      </c>
      <c r="W54" s="41"/>
      <c r="X54" s="44">
        <v>0</v>
      </c>
      <c r="Y54" s="44">
        <v>31.3297621032122</v>
      </c>
      <c r="Z54" s="44">
        <v>0</v>
      </c>
      <c r="AA54" s="44">
        <v>0</v>
      </c>
      <c r="AB54" s="44">
        <f>Y54</f>
        <v>31.3297621032122</v>
      </c>
      <c r="AC54" s="44">
        <v>0</v>
      </c>
      <c r="AD54" s="44">
        <v>0</v>
      </c>
      <c r="AE54" s="44">
        <v>0</v>
      </c>
      <c r="AF54" s="44">
        <v>0</v>
      </c>
      <c r="AG54" s="44">
        <f t="shared" ref="AG54:AG55" si="58">AD54</f>
        <v>0</v>
      </c>
      <c r="AH54" s="44">
        <v>0</v>
      </c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3"/>
      <c r="BO54" s="13"/>
      <c r="BP54" s="13"/>
      <c r="BQ54" s="13"/>
      <c r="BR54" s="18"/>
      <c r="BS54" s="13"/>
      <c r="BT54" s="13"/>
      <c r="BU54" s="13"/>
      <c r="BV54" s="13"/>
      <c r="BW54" s="49" t="s">
        <v>247</v>
      </c>
    </row>
    <row r="55" spans="1:75" s="17" customFormat="1" ht="78.75" x14ac:dyDescent="0.25">
      <c r="A55" s="45" t="s">
        <v>176</v>
      </c>
      <c r="B55" s="46" t="s">
        <v>203</v>
      </c>
      <c r="C55" s="34" t="s">
        <v>175</v>
      </c>
      <c r="D55" s="41" t="s">
        <v>166</v>
      </c>
      <c r="E55" s="41">
        <v>2019</v>
      </c>
      <c r="F55" s="41">
        <f>G55</f>
        <v>2019</v>
      </c>
      <c r="G55" s="41">
        <v>2019</v>
      </c>
      <c r="H55" s="44">
        <f t="shared" ref="H55:J56" si="59">K55</f>
        <v>1.6667124626069998</v>
      </c>
      <c r="I55" s="44">
        <f t="shared" si="59"/>
        <v>8.1462902488379996</v>
      </c>
      <c r="J55" s="44" t="str">
        <f t="shared" si="59"/>
        <v>янв.2018г.</v>
      </c>
      <c r="K55" s="44">
        <f>1.32626121*1.065*1.18</f>
        <v>1.6667124626069998</v>
      </c>
      <c r="L55" s="44">
        <f>6482.28714*1.065*1.18/1000</f>
        <v>8.1462902488379996</v>
      </c>
      <c r="M55" s="48" t="s">
        <v>206</v>
      </c>
      <c r="N55" s="41" t="s">
        <v>161</v>
      </c>
      <c r="O55" s="44" t="s">
        <v>161</v>
      </c>
      <c r="P55" s="44" t="s">
        <v>161</v>
      </c>
      <c r="Q55" s="44" t="s">
        <v>161</v>
      </c>
      <c r="R55" s="44" t="s">
        <v>161</v>
      </c>
      <c r="S55" s="44" t="s">
        <v>161</v>
      </c>
      <c r="T55" s="44">
        <f>U55</f>
        <v>8.6488749341234037</v>
      </c>
      <c r="U55" s="44">
        <f>8.50472701855468/1.18*1.2</f>
        <v>8.6488749341234037</v>
      </c>
      <c r="V55" s="44">
        <f>X55</f>
        <v>8.6488749341234037</v>
      </c>
      <c r="W55" s="41"/>
      <c r="X55" s="44">
        <f>U55</f>
        <v>8.6488749341234037</v>
      </c>
      <c r="Y55" s="44">
        <f>AD55</f>
        <v>8.6488749341234037</v>
      </c>
      <c r="Z55" s="44">
        <v>0</v>
      </c>
      <c r="AA55" s="44">
        <v>0</v>
      </c>
      <c r="AB55" s="44">
        <f>AG55</f>
        <v>8.6488749341234037</v>
      </c>
      <c r="AC55" s="44">
        <v>0</v>
      </c>
      <c r="AD55" s="44">
        <f>X55</f>
        <v>8.6488749341234037</v>
      </c>
      <c r="AE55" s="44">
        <v>0</v>
      </c>
      <c r="AF55" s="44">
        <v>0</v>
      </c>
      <c r="AG55" s="44">
        <f t="shared" si="58"/>
        <v>8.6488749341234037</v>
      </c>
      <c r="AH55" s="44">
        <v>0</v>
      </c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3"/>
      <c r="BO55" s="13"/>
      <c r="BP55" s="13"/>
      <c r="BQ55" s="13"/>
      <c r="BR55" s="18"/>
      <c r="BS55" s="13"/>
      <c r="BT55" s="13"/>
      <c r="BU55" s="13"/>
      <c r="BV55" s="13"/>
      <c r="BW55" s="49" t="s">
        <v>161</v>
      </c>
    </row>
    <row r="56" spans="1:75" s="17" customFormat="1" ht="31.5" x14ac:dyDescent="0.25">
      <c r="A56" s="45" t="s">
        <v>227</v>
      </c>
      <c r="B56" s="46" t="s">
        <v>228</v>
      </c>
      <c r="C56" s="52" t="s">
        <v>229</v>
      </c>
      <c r="D56" s="41" t="s">
        <v>168</v>
      </c>
      <c r="E56" s="41">
        <v>2012</v>
      </c>
      <c r="F56" s="41">
        <f>G56</f>
        <v>2019</v>
      </c>
      <c r="G56" s="41">
        <v>2019</v>
      </c>
      <c r="H56" s="44">
        <f t="shared" si="59"/>
        <v>0.35265282645367702</v>
      </c>
      <c r="I56" s="44">
        <f t="shared" si="59"/>
        <v>2.2294121751829996</v>
      </c>
      <c r="J56" s="44" t="str">
        <f t="shared" si="59"/>
        <v>авг.2018г.</v>
      </c>
      <c r="K56" s="44">
        <f>352.652826453677/1000</f>
        <v>0.35265282645367702</v>
      </c>
      <c r="L56" s="44">
        <v>2.2294121751829996</v>
      </c>
      <c r="M56" s="48" t="s">
        <v>231</v>
      </c>
      <c r="N56" s="41" t="s">
        <v>161</v>
      </c>
      <c r="O56" s="44">
        <v>0.32578501999999998</v>
      </c>
      <c r="P56" s="44" t="s">
        <v>161</v>
      </c>
      <c r="Q56" s="44" t="s">
        <v>161</v>
      </c>
      <c r="R56" s="44" t="s">
        <v>161</v>
      </c>
      <c r="S56" s="44" t="s">
        <v>161</v>
      </c>
      <c r="T56" s="44">
        <f>U56</f>
        <v>2.3468562899999998</v>
      </c>
      <c r="U56" s="44">
        <v>2.3468562899999998</v>
      </c>
      <c r="V56" s="44">
        <f>X56</f>
        <v>2.0210712699999998</v>
      </c>
      <c r="W56" s="41"/>
      <c r="X56" s="44">
        <f>U56-O56</f>
        <v>2.0210712699999998</v>
      </c>
      <c r="Y56" s="44">
        <f>AD56</f>
        <v>2.0210712699999998</v>
      </c>
      <c r="Z56" s="44">
        <v>0</v>
      </c>
      <c r="AA56" s="44">
        <v>0</v>
      </c>
      <c r="AB56" s="44">
        <f>AG56</f>
        <v>2.0210712699999998</v>
      </c>
      <c r="AC56" s="44">
        <v>0</v>
      </c>
      <c r="AD56" s="44">
        <f>X56</f>
        <v>2.0210712699999998</v>
      </c>
      <c r="AE56" s="44">
        <v>0</v>
      </c>
      <c r="AF56" s="44">
        <v>0</v>
      </c>
      <c r="AG56" s="44">
        <f t="shared" ref="AG56" si="60">AD56</f>
        <v>2.0210712699999998</v>
      </c>
      <c r="AH56" s="44">
        <v>0</v>
      </c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3"/>
      <c r="BO56" s="13"/>
      <c r="BP56" s="13"/>
      <c r="BQ56" s="13"/>
      <c r="BR56" s="18"/>
      <c r="BS56" s="13"/>
      <c r="BT56" s="13"/>
      <c r="BU56" s="13"/>
      <c r="BV56" s="13"/>
      <c r="BW56" s="49" t="s">
        <v>161</v>
      </c>
    </row>
    <row r="57" spans="1:75" s="17" customFormat="1" ht="63" x14ac:dyDescent="0.25">
      <c r="A57" s="42" t="s">
        <v>117</v>
      </c>
      <c r="B57" s="43" t="s">
        <v>118</v>
      </c>
      <c r="C57" s="41" t="s">
        <v>167</v>
      </c>
      <c r="D57" s="41" t="s">
        <v>161</v>
      </c>
      <c r="E57" s="41" t="s">
        <v>161</v>
      </c>
      <c r="F57" s="41" t="s">
        <v>161</v>
      </c>
      <c r="G57" s="41" t="s">
        <v>161</v>
      </c>
      <c r="H57" s="44">
        <v>0</v>
      </c>
      <c r="I57" s="44">
        <v>0</v>
      </c>
      <c r="J57" s="44" t="s">
        <v>161</v>
      </c>
      <c r="K57" s="44">
        <f>K59+K60+K61+K62+K63+K64+K65+K66+K67+K68</f>
        <v>1.914454703340531</v>
      </c>
      <c r="L57" s="44">
        <f>L59+L60+L61+L62+L63+L64+L65+L66+L67+L68</f>
        <v>20.338577756989999</v>
      </c>
      <c r="M57" s="44" t="s">
        <v>161</v>
      </c>
      <c r="N57" s="41" t="s">
        <v>161</v>
      </c>
      <c r="O57" s="44">
        <f>O59+O60+O61+O62+O63+O64+O65+O66+O67+O68</f>
        <v>0</v>
      </c>
      <c r="P57" s="44" t="s">
        <v>161</v>
      </c>
      <c r="Q57" s="44" t="s">
        <v>161</v>
      </c>
      <c r="R57" s="44" t="s">
        <v>161</v>
      </c>
      <c r="S57" s="44" t="s">
        <v>161</v>
      </c>
      <c r="T57" s="44">
        <v>0</v>
      </c>
      <c r="U57" s="44">
        <f>U59+U60+U61+U62+U63+U64+U65+U66+U67+U68</f>
        <v>20.652946753888138</v>
      </c>
      <c r="V57" s="44">
        <v>0</v>
      </c>
      <c r="W57" s="44" t="e">
        <f>#REF!+#REF!+#REF!</f>
        <v>#REF!</v>
      </c>
      <c r="X57" s="44">
        <f>X59+X60+X61+X62+X63+X64+X65+X66+X67+X68</f>
        <v>20.652946753888138</v>
      </c>
      <c r="Y57" s="44">
        <f>Y59+Y60+Y61+Y62+Y63+Y64+Y65+Y66+Y67+Y68</f>
        <v>18.862139813888135</v>
      </c>
      <c r="Z57" s="44">
        <v>0</v>
      </c>
      <c r="AA57" s="44">
        <v>0</v>
      </c>
      <c r="AB57" s="44">
        <f>AB59+AB60+AB61+AB62+AB63+AB64+AB65+AB66+AB67+AB68</f>
        <v>18.862139813888135</v>
      </c>
      <c r="AC57" s="44">
        <v>0</v>
      </c>
      <c r="AD57" s="44">
        <f>AD59+AD60+AD61+AD62+AD63+AD64+AD65+AD66+AD67+AD68</f>
        <v>18.862139813888135</v>
      </c>
      <c r="AE57" s="44">
        <v>0</v>
      </c>
      <c r="AF57" s="44">
        <v>0</v>
      </c>
      <c r="AG57" s="44">
        <f>AG59+AG60+AG61+AG62+AG63+AG64+AG65+AG66+AG67+AG68</f>
        <v>18.862139813888135</v>
      </c>
      <c r="AH57" s="44">
        <v>0</v>
      </c>
      <c r="AI57" s="44" t="e">
        <f>#REF!+#REF!</f>
        <v>#REF!</v>
      </c>
      <c r="AJ57" s="44" t="e">
        <f>#REF!+#REF!</f>
        <v>#REF!</v>
      </c>
      <c r="AK57" s="44" t="e">
        <f>#REF!+#REF!</f>
        <v>#REF!</v>
      </c>
      <c r="AL57" s="44" t="e">
        <f>#REF!+#REF!</f>
        <v>#REF!</v>
      </c>
      <c r="AM57" s="44" t="e">
        <f>#REF!+#REF!</f>
        <v>#REF!</v>
      </c>
      <c r="AN57" s="44" t="e">
        <f>#REF!+#REF!</f>
        <v>#REF!</v>
      </c>
      <c r="AO57" s="44" t="e">
        <f>#REF!+#REF!</f>
        <v>#REF!</v>
      </c>
      <c r="AP57" s="44" t="e">
        <f>#REF!+#REF!</f>
        <v>#REF!</v>
      </c>
      <c r="AQ57" s="44" t="e">
        <f>#REF!+#REF!</f>
        <v>#REF!</v>
      </c>
      <c r="AR57" s="44" t="e">
        <f>#REF!+#REF!</f>
        <v>#REF!</v>
      </c>
      <c r="AS57" s="44" t="e">
        <f>#REF!+#REF!</f>
        <v>#REF!</v>
      </c>
      <c r="AT57" s="44" t="e">
        <f>#REF!+#REF!</f>
        <v>#REF!</v>
      </c>
      <c r="AU57" s="44" t="e">
        <f>#REF!+#REF!</f>
        <v>#REF!</v>
      </c>
      <c r="AV57" s="44" t="e">
        <f>#REF!+#REF!</f>
        <v>#REF!</v>
      </c>
      <c r="AW57" s="44" t="e">
        <f>#REF!+#REF!</f>
        <v>#REF!</v>
      </c>
      <c r="AX57" s="44" t="e">
        <f>#REF!+#REF!</f>
        <v>#REF!</v>
      </c>
      <c r="AY57" s="44" t="e">
        <f>#REF!+#REF!</f>
        <v>#REF!</v>
      </c>
      <c r="AZ57" s="44" t="e">
        <f>#REF!+#REF!</f>
        <v>#REF!</v>
      </c>
      <c r="BA57" s="44" t="e">
        <f>#REF!+#REF!</f>
        <v>#REF!</v>
      </c>
      <c r="BB57" s="44" t="e">
        <f>#REF!+#REF!</f>
        <v>#REF!</v>
      </c>
      <c r="BC57" s="44" t="e">
        <f>#REF!+#REF!</f>
        <v>#REF!</v>
      </c>
      <c r="BD57" s="44" t="e">
        <f>#REF!+#REF!</f>
        <v>#REF!</v>
      </c>
      <c r="BE57" s="44" t="e">
        <f>#REF!+#REF!</f>
        <v>#REF!</v>
      </c>
      <c r="BF57" s="44" t="e">
        <f>#REF!+#REF!</f>
        <v>#REF!</v>
      </c>
      <c r="BG57" s="44" t="e">
        <f>#REF!+#REF!</f>
        <v>#REF!</v>
      </c>
      <c r="BH57" s="44" t="e">
        <f>#REF!+#REF!</f>
        <v>#REF!</v>
      </c>
      <c r="BI57" s="44" t="e">
        <f>#REF!+#REF!</f>
        <v>#REF!</v>
      </c>
      <c r="BJ57" s="44" t="e">
        <f>#REF!+#REF!</f>
        <v>#REF!</v>
      </c>
      <c r="BK57" s="44" t="e">
        <f>#REF!+#REF!</f>
        <v>#REF!</v>
      </c>
      <c r="BL57" s="44" t="e">
        <f>#REF!+#REF!</f>
        <v>#REF!</v>
      </c>
      <c r="BM57" s="44" t="e">
        <f>#REF!+#REF!</f>
        <v>#REF!</v>
      </c>
      <c r="BN57" s="44" t="e">
        <f>#REF!+#REF!</f>
        <v>#REF!</v>
      </c>
      <c r="BO57" s="44" t="e">
        <f>#REF!+#REF!</f>
        <v>#REF!</v>
      </c>
      <c r="BP57" s="44" t="e">
        <f>#REF!+#REF!</f>
        <v>#REF!</v>
      </c>
      <c r="BQ57" s="44" t="e">
        <f>#REF!+#REF!</f>
        <v>#REF!</v>
      </c>
      <c r="BR57" s="44" t="e">
        <f>#REF!+#REF!</f>
        <v>#REF!</v>
      </c>
      <c r="BS57" s="44" t="e">
        <f>#REF!+#REF!</f>
        <v>#REF!</v>
      </c>
      <c r="BT57" s="44" t="e">
        <f>#REF!+#REF!</f>
        <v>#REF!</v>
      </c>
      <c r="BU57" s="44" t="e">
        <f>#REF!+#REF!</f>
        <v>#REF!</v>
      </c>
      <c r="BV57" s="50" t="e">
        <f>#REF!+#REF!</f>
        <v>#REF!</v>
      </c>
      <c r="BW57" s="41" t="s">
        <v>161</v>
      </c>
    </row>
    <row r="58" spans="1:75" s="17" customFormat="1" ht="126" x14ac:dyDescent="0.25">
      <c r="A58" s="45" t="s">
        <v>209</v>
      </c>
      <c r="B58" s="46" t="s">
        <v>207</v>
      </c>
      <c r="C58" s="34" t="s">
        <v>161</v>
      </c>
      <c r="D58" s="41" t="s">
        <v>161</v>
      </c>
      <c r="E58" s="41" t="s">
        <v>161</v>
      </c>
      <c r="F58" s="41" t="s">
        <v>161</v>
      </c>
      <c r="G58" s="41" t="s">
        <v>161</v>
      </c>
      <c r="H58" s="41" t="s">
        <v>161</v>
      </c>
      <c r="I58" s="41" t="s">
        <v>161</v>
      </c>
      <c r="J58" s="44" t="s">
        <v>161</v>
      </c>
      <c r="K58" s="41" t="s">
        <v>161</v>
      </c>
      <c r="L58" s="41" t="s">
        <v>161</v>
      </c>
      <c r="M58" s="41" t="s">
        <v>161</v>
      </c>
      <c r="N58" s="41" t="s">
        <v>161</v>
      </c>
      <c r="O58" s="41" t="s">
        <v>161</v>
      </c>
      <c r="P58" s="41" t="s">
        <v>161</v>
      </c>
      <c r="Q58" s="41" t="s">
        <v>161</v>
      </c>
      <c r="R58" s="41" t="s">
        <v>161</v>
      </c>
      <c r="S58" s="41" t="s">
        <v>161</v>
      </c>
      <c r="T58" s="41" t="s">
        <v>161</v>
      </c>
      <c r="U58" s="41" t="s">
        <v>161</v>
      </c>
      <c r="V58" s="41" t="s">
        <v>161</v>
      </c>
      <c r="W58" s="41" t="s">
        <v>161</v>
      </c>
      <c r="X58" s="41" t="s">
        <v>161</v>
      </c>
      <c r="Y58" s="44">
        <v>0</v>
      </c>
      <c r="Z58" s="41" t="s">
        <v>161</v>
      </c>
      <c r="AA58" s="41" t="s">
        <v>161</v>
      </c>
      <c r="AB58" s="44">
        <v>0</v>
      </c>
      <c r="AC58" s="41" t="s">
        <v>161</v>
      </c>
      <c r="AD58" s="41" t="s">
        <v>161</v>
      </c>
      <c r="AE58" s="41" t="s">
        <v>161</v>
      </c>
      <c r="AF58" s="41" t="s">
        <v>161</v>
      </c>
      <c r="AG58" s="41" t="s">
        <v>161</v>
      </c>
      <c r="AH58" s="41" t="s">
        <v>161</v>
      </c>
      <c r="AI58" s="41" t="s">
        <v>161</v>
      </c>
      <c r="AJ58" s="41" t="s">
        <v>161</v>
      </c>
      <c r="AK58" s="41" t="s">
        <v>161</v>
      </c>
      <c r="AL58" s="41" t="s">
        <v>161</v>
      </c>
      <c r="AM58" s="41" t="s">
        <v>161</v>
      </c>
      <c r="AN58" s="41" t="s">
        <v>161</v>
      </c>
      <c r="AO58" s="41" t="s">
        <v>161</v>
      </c>
      <c r="AP58" s="41" t="s">
        <v>161</v>
      </c>
      <c r="AQ58" s="41" t="s">
        <v>161</v>
      </c>
      <c r="AR58" s="41" t="s">
        <v>161</v>
      </c>
      <c r="AS58" s="41" t="s">
        <v>161</v>
      </c>
      <c r="AT58" s="41" t="s">
        <v>161</v>
      </c>
      <c r="AU58" s="41" t="s">
        <v>161</v>
      </c>
      <c r="AV58" s="41" t="s">
        <v>161</v>
      </c>
      <c r="AW58" s="41" t="s">
        <v>161</v>
      </c>
      <c r="AX58" s="41" t="s">
        <v>161</v>
      </c>
      <c r="AY58" s="41" t="s">
        <v>161</v>
      </c>
      <c r="AZ58" s="41" t="s">
        <v>161</v>
      </c>
      <c r="BA58" s="41" t="s">
        <v>161</v>
      </c>
      <c r="BB58" s="41" t="s">
        <v>161</v>
      </c>
      <c r="BC58" s="41" t="s">
        <v>161</v>
      </c>
      <c r="BD58" s="41" t="s">
        <v>161</v>
      </c>
      <c r="BE58" s="41" t="s">
        <v>161</v>
      </c>
      <c r="BF58" s="41" t="s">
        <v>161</v>
      </c>
      <c r="BG58" s="41" t="s">
        <v>161</v>
      </c>
      <c r="BH58" s="41" t="s">
        <v>161</v>
      </c>
      <c r="BI58" s="41" t="s">
        <v>161</v>
      </c>
      <c r="BJ58" s="41" t="s">
        <v>161</v>
      </c>
      <c r="BK58" s="41" t="s">
        <v>161</v>
      </c>
      <c r="BL58" s="41" t="s">
        <v>161</v>
      </c>
      <c r="BM58" s="41" t="s">
        <v>161</v>
      </c>
      <c r="BN58" s="41" t="s">
        <v>161</v>
      </c>
      <c r="BO58" s="41" t="s">
        <v>161</v>
      </c>
      <c r="BP58" s="41" t="s">
        <v>161</v>
      </c>
      <c r="BQ58" s="41" t="s">
        <v>161</v>
      </c>
      <c r="BR58" s="41" t="s">
        <v>161</v>
      </c>
      <c r="BS58" s="41" t="s">
        <v>161</v>
      </c>
      <c r="BT58" s="41" t="s">
        <v>161</v>
      </c>
      <c r="BU58" s="41" t="s">
        <v>161</v>
      </c>
      <c r="BV58" s="41" t="s">
        <v>161</v>
      </c>
      <c r="BW58" s="41" t="s">
        <v>161</v>
      </c>
    </row>
    <row r="59" spans="1:75" s="17" customFormat="1" x14ac:dyDescent="0.25">
      <c r="A59" s="45" t="s">
        <v>210</v>
      </c>
      <c r="B59" s="46" t="s">
        <v>177</v>
      </c>
      <c r="C59" s="34" t="s">
        <v>178</v>
      </c>
      <c r="D59" s="41" t="s">
        <v>166</v>
      </c>
      <c r="E59" s="41">
        <v>2018</v>
      </c>
      <c r="F59" s="41">
        <f t="shared" ref="F59:F68" si="61">G59</f>
        <v>2019</v>
      </c>
      <c r="G59" s="41">
        <v>2019</v>
      </c>
      <c r="H59" s="44">
        <f t="shared" ref="H59:I66" si="62">K59</f>
        <v>0.21610928979149574</v>
      </c>
      <c r="I59" s="44">
        <f t="shared" si="62"/>
        <v>2.3612137859</v>
      </c>
      <c r="J59" s="48">
        <v>42826</v>
      </c>
      <c r="K59" s="55">
        <f>0.38421075*1.18/10+(0.42035539)*0.323273049843987*1.18*1.065</f>
        <v>0.21610928979149574</v>
      </c>
      <c r="L59" s="55">
        <f>1.79080694/10+(2.04895126)*1.065</f>
        <v>2.3612137859</v>
      </c>
      <c r="M59" s="48">
        <v>42826</v>
      </c>
      <c r="N59" s="41" t="s">
        <v>161</v>
      </c>
      <c r="O59" s="26">
        <v>0</v>
      </c>
      <c r="P59" s="44" t="s">
        <v>161</v>
      </c>
      <c r="Q59" s="44" t="s">
        <v>161</v>
      </c>
      <c r="R59" s="44" t="s">
        <v>161</v>
      </c>
      <c r="S59" s="44" t="s">
        <v>161</v>
      </c>
      <c r="T59" s="44">
        <f t="shared" ref="T59:T66" si="63">U59</f>
        <v>2.3981990925423728</v>
      </c>
      <c r="U59" s="55">
        <f>1.79080694/10+(2.04895126)*1.065/1.18*1.2</f>
        <v>2.3981990925423728</v>
      </c>
      <c r="V59" s="44">
        <f t="shared" ref="V59:V66" si="64">X59</f>
        <v>2.3981990925423728</v>
      </c>
      <c r="W59" s="41"/>
      <c r="X59" s="44">
        <f>U59</f>
        <v>2.3981990925423728</v>
      </c>
      <c r="Y59" s="44">
        <f t="shared" ref="Y59:Y66" si="65">AD59</f>
        <v>2.2191183985423728</v>
      </c>
      <c r="Z59" s="44">
        <v>0</v>
      </c>
      <c r="AA59" s="44">
        <v>0</v>
      </c>
      <c r="AB59" s="44">
        <f t="shared" ref="AB59:AB66" si="66">AG59</f>
        <v>2.2191183985423728</v>
      </c>
      <c r="AC59" s="44">
        <v>0</v>
      </c>
      <c r="AD59" s="44">
        <f>AG59</f>
        <v>2.2191183985423728</v>
      </c>
      <c r="AE59" s="44">
        <v>0</v>
      </c>
      <c r="AF59" s="44">
        <v>0</v>
      </c>
      <c r="AG59" s="44">
        <f>(2.04895126)*1.065/1.18*1.2</f>
        <v>2.2191183985423728</v>
      </c>
      <c r="AH59" s="44">
        <v>0</v>
      </c>
      <c r="AI59" s="41" t="s">
        <v>161</v>
      </c>
      <c r="AJ59" s="41" t="s">
        <v>161</v>
      </c>
      <c r="AK59" s="41" t="s">
        <v>161</v>
      </c>
      <c r="AL59" s="41" t="s">
        <v>161</v>
      </c>
      <c r="AM59" s="41" t="s">
        <v>161</v>
      </c>
      <c r="AN59" s="41" t="s">
        <v>161</v>
      </c>
      <c r="AO59" s="41" t="s">
        <v>161</v>
      </c>
      <c r="AP59" s="41" t="s">
        <v>161</v>
      </c>
      <c r="AQ59" s="41" t="s">
        <v>161</v>
      </c>
      <c r="AR59" s="41" t="s">
        <v>161</v>
      </c>
      <c r="AS59" s="41" t="s">
        <v>161</v>
      </c>
      <c r="AT59" s="41" t="s">
        <v>161</v>
      </c>
      <c r="AU59" s="41" t="s">
        <v>161</v>
      </c>
      <c r="AV59" s="41" t="s">
        <v>161</v>
      </c>
      <c r="AW59" s="41" t="s">
        <v>161</v>
      </c>
      <c r="AX59" s="41" t="s">
        <v>161</v>
      </c>
      <c r="AY59" s="41" t="s">
        <v>161</v>
      </c>
      <c r="AZ59" s="41" t="s">
        <v>161</v>
      </c>
      <c r="BA59" s="41" t="s">
        <v>161</v>
      </c>
      <c r="BB59" s="41" t="s">
        <v>161</v>
      </c>
      <c r="BC59" s="41" t="s">
        <v>161</v>
      </c>
      <c r="BD59" s="41" t="s">
        <v>161</v>
      </c>
      <c r="BE59" s="41" t="s">
        <v>161</v>
      </c>
      <c r="BF59" s="41" t="s">
        <v>161</v>
      </c>
      <c r="BG59" s="41" t="s">
        <v>161</v>
      </c>
      <c r="BH59" s="41" t="s">
        <v>161</v>
      </c>
      <c r="BI59" s="41" t="s">
        <v>161</v>
      </c>
      <c r="BJ59" s="41" t="s">
        <v>161</v>
      </c>
      <c r="BK59" s="41" t="s">
        <v>161</v>
      </c>
      <c r="BL59" s="41" t="s">
        <v>161</v>
      </c>
      <c r="BM59" s="41" t="s">
        <v>161</v>
      </c>
      <c r="BN59" s="41" t="s">
        <v>161</v>
      </c>
      <c r="BO59" s="41" t="s">
        <v>161</v>
      </c>
      <c r="BP59" s="41" t="s">
        <v>161</v>
      </c>
      <c r="BQ59" s="41" t="s">
        <v>161</v>
      </c>
      <c r="BR59" s="41" t="s">
        <v>161</v>
      </c>
      <c r="BS59" s="41" t="s">
        <v>161</v>
      </c>
      <c r="BT59" s="41" t="s">
        <v>161</v>
      </c>
      <c r="BU59" s="41" t="s">
        <v>161</v>
      </c>
      <c r="BV59" s="41" t="s">
        <v>161</v>
      </c>
      <c r="BW59" s="49" t="s">
        <v>161</v>
      </c>
    </row>
    <row r="60" spans="1:75" s="17" customFormat="1" x14ac:dyDescent="0.25">
      <c r="A60" s="45" t="s">
        <v>211</v>
      </c>
      <c r="B60" s="46" t="s">
        <v>179</v>
      </c>
      <c r="C60" s="34" t="s">
        <v>180</v>
      </c>
      <c r="D60" s="41" t="s">
        <v>166</v>
      </c>
      <c r="E60" s="41">
        <v>2018</v>
      </c>
      <c r="F60" s="41">
        <f t="shared" si="61"/>
        <v>2019</v>
      </c>
      <c r="G60" s="41">
        <v>2019</v>
      </c>
      <c r="H60" s="44">
        <f t="shared" si="62"/>
        <v>0.1357137117000243</v>
      </c>
      <c r="I60" s="44">
        <f t="shared" si="62"/>
        <v>1.3291913192</v>
      </c>
      <c r="J60" s="48">
        <v>42826</v>
      </c>
      <c r="K60" s="55">
        <f>0.38421075*1.18/10+(0.22246211)*0.323273049843987*1.18*1.065</f>
        <v>0.1357137117000243</v>
      </c>
      <c r="L60" s="55">
        <f>1.79080694/10+(1.07991608)*1.065</f>
        <v>1.3291913192</v>
      </c>
      <c r="M60" s="48">
        <v>42826</v>
      </c>
      <c r="N60" s="41" t="s">
        <v>161</v>
      </c>
      <c r="O60" s="26">
        <v>0</v>
      </c>
      <c r="P60" s="44" t="s">
        <v>161</v>
      </c>
      <c r="Q60" s="44" t="s">
        <v>161</v>
      </c>
      <c r="R60" s="44" t="s">
        <v>161</v>
      </c>
      <c r="S60" s="44" t="s">
        <v>161</v>
      </c>
      <c r="T60" s="44">
        <f t="shared" si="63"/>
        <v>1.3486847196271186</v>
      </c>
      <c r="U60" s="55">
        <f>1.79080694/10+(1.07991608)*1.065/1.18*1.2</f>
        <v>1.3486847196271186</v>
      </c>
      <c r="V60" s="44">
        <f t="shared" si="64"/>
        <v>1.3486847196271186</v>
      </c>
      <c r="W60" s="41"/>
      <c r="X60" s="44">
        <f t="shared" ref="X60:X68" si="67">U60</f>
        <v>1.3486847196271186</v>
      </c>
      <c r="Y60" s="44">
        <f t="shared" si="65"/>
        <v>1.1696040256271185</v>
      </c>
      <c r="Z60" s="44">
        <v>0</v>
      </c>
      <c r="AA60" s="44">
        <v>0</v>
      </c>
      <c r="AB60" s="44">
        <f t="shared" si="66"/>
        <v>1.1696040256271185</v>
      </c>
      <c r="AC60" s="44">
        <v>0</v>
      </c>
      <c r="AD60" s="44">
        <f t="shared" ref="AD60:AD68" si="68">AG60</f>
        <v>1.1696040256271185</v>
      </c>
      <c r="AE60" s="44">
        <v>0</v>
      </c>
      <c r="AF60" s="44">
        <v>0</v>
      </c>
      <c r="AG60" s="44">
        <f>(1.07991608)*1.065/1.18*1.2</f>
        <v>1.1696040256271185</v>
      </c>
      <c r="AH60" s="44">
        <v>0</v>
      </c>
      <c r="AI60" s="41" t="s">
        <v>161</v>
      </c>
      <c r="AJ60" s="41" t="s">
        <v>161</v>
      </c>
      <c r="AK60" s="41" t="s">
        <v>161</v>
      </c>
      <c r="AL60" s="41" t="s">
        <v>161</v>
      </c>
      <c r="AM60" s="41" t="s">
        <v>161</v>
      </c>
      <c r="AN60" s="41" t="s">
        <v>161</v>
      </c>
      <c r="AO60" s="41" t="s">
        <v>161</v>
      </c>
      <c r="AP60" s="41" t="s">
        <v>161</v>
      </c>
      <c r="AQ60" s="41" t="s">
        <v>161</v>
      </c>
      <c r="AR60" s="41" t="s">
        <v>161</v>
      </c>
      <c r="AS60" s="41" t="s">
        <v>161</v>
      </c>
      <c r="AT60" s="41" t="s">
        <v>161</v>
      </c>
      <c r="AU60" s="41" t="s">
        <v>161</v>
      </c>
      <c r="AV60" s="41" t="s">
        <v>161</v>
      </c>
      <c r="AW60" s="41" t="s">
        <v>161</v>
      </c>
      <c r="AX60" s="41" t="s">
        <v>161</v>
      </c>
      <c r="AY60" s="41" t="s">
        <v>161</v>
      </c>
      <c r="AZ60" s="41" t="s">
        <v>161</v>
      </c>
      <c r="BA60" s="41" t="s">
        <v>161</v>
      </c>
      <c r="BB60" s="41" t="s">
        <v>161</v>
      </c>
      <c r="BC60" s="41" t="s">
        <v>161</v>
      </c>
      <c r="BD60" s="41" t="s">
        <v>161</v>
      </c>
      <c r="BE60" s="41" t="s">
        <v>161</v>
      </c>
      <c r="BF60" s="41" t="s">
        <v>161</v>
      </c>
      <c r="BG60" s="41" t="s">
        <v>161</v>
      </c>
      <c r="BH60" s="41" t="s">
        <v>161</v>
      </c>
      <c r="BI60" s="41" t="s">
        <v>161</v>
      </c>
      <c r="BJ60" s="41" t="s">
        <v>161</v>
      </c>
      <c r="BK60" s="41" t="s">
        <v>161</v>
      </c>
      <c r="BL60" s="41" t="s">
        <v>161</v>
      </c>
      <c r="BM60" s="41" t="s">
        <v>161</v>
      </c>
      <c r="BN60" s="41" t="s">
        <v>161</v>
      </c>
      <c r="BO60" s="41" t="s">
        <v>161</v>
      </c>
      <c r="BP60" s="41" t="s">
        <v>161</v>
      </c>
      <c r="BQ60" s="41" t="s">
        <v>161</v>
      </c>
      <c r="BR60" s="41" t="s">
        <v>161</v>
      </c>
      <c r="BS60" s="41" t="s">
        <v>161</v>
      </c>
      <c r="BT60" s="41" t="s">
        <v>161</v>
      </c>
      <c r="BU60" s="41" t="s">
        <v>161</v>
      </c>
      <c r="BV60" s="41" t="s">
        <v>161</v>
      </c>
      <c r="BW60" s="49" t="s">
        <v>161</v>
      </c>
    </row>
    <row r="61" spans="1:75" s="17" customFormat="1" x14ac:dyDescent="0.25">
      <c r="A61" s="45" t="s">
        <v>212</v>
      </c>
      <c r="B61" s="46" t="s">
        <v>181</v>
      </c>
      <c r="C61" s="34" t="s">
        <v>182</v>
      </c>
      <c r="D61" s="41" t="s">
        <v>166</v>
      </c>
      <c r="E61" s="41">
        <v>2018</v>
      </c>
      <c r="F61" s="41">
        <f t="shared" si="61"/>
        <v>2019</v>
      </c>
      <c r="G61" s="41">
        <v>2019</v>
      </c>
      <c r="H61" s="44">
        <f t="shared" si="62"/>
        <v>0.14027812962556138</v>
      </c>
      <c r="I61" s="44">
        <f t="shared" si="62"/>
        <v>1.3801439821400001</v>
      </c>
      <c r="J61" s="48">
        <v>42826</v>
      </c>
      <c r="K61" s="55">
        <f>0.38421075*1.18/10+(0.2336974)*0.323273049843987*1.18*1.065</f>
        <v>0.14027812962556138</v>
      </c>
      <c r="L61" s="55">
        <f>1.79080694/10+(1.127758956)*1.065</f>
        <v>1.3801439821400001</v>
      </c>
      <c r="M61" s="48">
        <v>42826</v>
      </c>
      <c r="N61" s="41" t="s">
        <v>161</v>
      </c>
      <c r="O61" s="26">
        <v>0</v>
      </c>
      <c r="P61" s="44" t="s">
        <v>161</v>
      </c>
      <c r="Q61" s="44" t="s">
        <v>161</v>
      </c>
      <c r="R61" s="44" t="s">
        <v>161</v>
      </c>
      <c r="S61" s="44" t="s">
        <v>161</v>
      </c>
      <c r="T61" s="44">
        <f t="shared" si="63"/>
        <v>1.4005009870237288</v>
      </c>
      <c r="U61" s="55">
        <f>1.79080694/10+(1.127758956)*1.065/1.18*1.2</f>
        <v>1.4005009870237288</v>
      </c>
      <c r="V61" s="44">
        <f t="shared" si="64"/>
        <v>1.4005009870237288</v>
      </c>
      <c r="W61" s="41"/>
      <c r="X61" s="44">
        <f t="shared" si="67"/>
        <v>1.4005009870237288</v>
      </c>
      <c r="Y61" s="44">
        <f t="shared" si="65"/>
        <v>1.2214202930237288</v>
      </c>
      <c r="Z61" s="44">
        <v>0</v>
      </c>
      <c r="AA61" s="44">
        <v>0</v>
      </c>
      <c r="AB61" s="44">
        <f t="shared" si="66"/>
        <v>1.2214202930237288</v>
      </c>
      <c r="AC61" s="44">
        <v>0</v>
      </c>
      <c r="AD61" s="44">
        <f t="shared" si="68"/>
        <v>1.2214202930237288</v>
      </c>
      <c r="AE61" s="44">
        <v>0</v>
      </c>
      <c r="AF61" s="44">
        <v>0</v>
      </c>
      <c r="AG61" s="44">
        <f>(1.127758956)*1.065/1.18*1.2</f>
        <v>1.2214202930237288</v>
      </c>
      <c r="AH61" s="44">
        <v>0</v>
      </c>
      <c r="AI61" s="41" t="s">
        <v>161</v>
      </c>
      <c r="AJ61" s="41" t="s">
        <v>161</v>
      </c>
      <c r="AK61" s="41" t="s">
        <v>161</v>
      </c>
      <c r="AL61" s="41" t="s">
        <v>161</v>
      </c>
      <c r="AM61" s="41" t="s">
        <v>161</v>
      </c>
      <c r="AN61" s="41" t="s">
        <v>161</v>
      </c>
      <c r="AO61" s="41" t="s">
        <v>161</v>
      </c>
      <c r="AP61" s="41" t="s">
        <v>161</v>
      </c>
      <c r="AQ61" s="41" t="s">
        <v>161</v>
      </c>
      <c r="AR61" s="41" t="s">
        <v>161</v>
      </c>
      <c r="AS61" s="41" t="s">
        <v>161</v>
      </c>
      <c r="AT61" s="41" t="s">
        <v>161</v>
      </c>
      <c r="AU61" s="41" t="s">
        <v>161</v>
      </c>
      <c r="AV61" s="41" t="s">
        <v>161</v>
      </c>
      <c r="AW61" s="41" t="s">
        <v>161</v>
      </c>
      <c r="AX61" s="41" t="s">
        <v>161</v>
      </c>
      <c r="AY61" s="41" t="s">
        <v>161</v>
      </c>
      <c r="AZ61" s="41" t="s">
        <v>161</v>
      </c>
      <c r="BA61" s="41" t="s">
        <v>161</v>
      </c>
      <c r="BB61" s="41" t="s">
        <v>161</v>
      </c>
      <c r="BC61" s="41" t="s">
        <v>161</v>
      </c>
      <c r="BD61" s="41" t="s">
        <v>161</v>
      </c>
      <c r="BE61" s="41" t="s">
        <v>161</v>
      </c>
      <c r="BF61" s="41" t="s">
        <v>161</v>
      </c>
      <c r="BG61" s="41" t="s">
        <v>161</v>
      </c>
      <c r="BH61" s="41" t="s">
        <v>161</v>
      </c>
      <c r="BI61" s="41" t="s">
        <v>161</v>
      </c>
      <c r="BJ61" s="41" t="s">
        <v>161</v>
      </c>
      <c r="BK61" s="41" t="s">
        <v>161</v>
      </c>
      <c r="BL61" s="41" t="s">
        <v>161</v>
      </c>
      <c r="BM61" s="41" t="s">
        <v>161</v>
      </c>
      <c r="BN61" s="41" t="s">
        <v>161</v>
      </c>
      <c r="BO61" s="41" t="s">
        <v>161</v>
      </c>
      <c r="BP61" s="41" t="s">
        <v>161</v>
      </c>
      <c r="BQ61" s="41" t="s">
        <v>161</v>
      </c>
      <c r="BR61" s="41" t="s">
        <v>161</v>
      </c>
      <c r="BS61" s="41" t="s">
        <v>161</v>
      </c>
      <c r="BT61" s="41" t="s">
        <v>161</v>
      </c>
      <c r="BU61" s="41" t="s">
        <v>161</v>
      </c>
      <c r="BV61" s="41" t="s">
        <v>161</v>
      </c>
      <c r="BW61" s="49" t="s">
        <v>161</v>
      </c>
    </row>
    <row r="62" spans="1:75" s="17" customFormat="1" x14ac:dyDescent="0.25">
      <c r="A62" s="45" t="s">
        <v>213</v>
      </c>
      <c r="B62" s="46" t="s">
        <v>183</v>
      </c>
      <c r="C62" s="34" t="s">
        <v>184</v>
      </c>
      <c r="D62" s="41" t="s">
        <v>168</v>
      </c>
      <c r="E62" s="41">
        <v>2015</v>
      </c>
      <c r="F62" s="41">
        <f t="shared" si="61"/>
        <v>2019</v>
      </c>
      <c r="G62" s="41">
        <v>2019</v>
      </c>
      <c r="H62" s="44">
        <f t="shared" si="62"/>
        <v>0.21696236906056127</v>
      </c>
      <c r="I62" s="44">
        <f t="shared" si="62"/>
        <v>2.3651804423000002</v>
      </c>
      <c r="J62" s="48">
        <v>42826</v>
      </c>
      <c r="K62" s="55">
        <f>0.38421075*1.18/10+(0.42245524)*0.323273049843987*1.18*1.065</f>
        <v>0.21696236906056127</v>
      </c>
      <c r="L62" s="55">
        <f>1.79080694/10+(2.05267582)*1.065</f>
        <v>2.3651804423000002</v>
      </c>
      <c r="M62" s="48">
        <v>42826</v>
      </c>
      <c r="N62" s="41" t="s">
        <v>161</v>
      </c>
      <c r="O62" s="44">
        <v>0</v>
      </c>
      <c r="P62" s="44" t="s">
        <v>161</v>
      </c>
      <c r="Q62" s="44" t="s">
        <v>161</v>
      </c>
      <c r="R62" s="44" t="s">
        <v>161</v>
      </c>
      <c r="S62" s="44" t="s">
        <v>161</v>
      </c>
      <c r="T62" s="44">
        <f t="shared" si="63"/>
        <v>2.4022329804067799</v>
      </c>
      <c r="U62" s="55">
        <f>1.79080694/10+(2.05267582)*1.065/1.18*1.2</f>
        <v>2.4022329804067799</v>
      </c>
      <c r="V62" s="44">
        <f t="shared" si="64"/>
        <v>2.4022329804067799</v>
      </c>
      <c r="W62" s="41"/>
      <c r="X62" s="44">
        <f t="shared" si="67"/>
        <v>2.4022329804067799</v>
      </c>
      <c r="Y62" s="44">
        <f t="shared" si="65"/>
        <v>2.2231522864067799</v>
      </c>
      <c r="Z62" s="44">
        <v>0</v>
      </c>
      <c r="AA62" s="44">
        <v>0</v>
      </c>
      <c r="AB62" s="44">
        <f t="shared" si="66"/>
        <v>2.2231522864067799</v>
      </c>
      <c r="AC62" s="44">
        <v>0</v>
      </c>
      <c r="AD62" s="44">
        <f t="shared" si="68"/>
        <v>2.2231522864067799</v>
      </c>
      <c r="AE62" s="44">
        <v>0</v>
      </c>
      <c r="AF62" s="44">
        <v>0</v>
      </c>
      <c r="AG62" s="44">
        <f>(2.05267582)*1.065/1.18*1.2</f>
        <v>2.2231522864067799</v>
      </c>
      <c r="AH62" s="44">
        <v>0</v>
      </c>
      <c r="AI62" s="41" t="s">
        <v>161</v>
      </c>
      <c r="AJ62" s="41" t="s">
        <v>161</v>
      </c>
      <c r="AK62" s="41" t="s">
        <v>161</v>
      </c>
      <c r="AL62" s="41" t="s">
        <v>161</v>
      </c>
      <c r="AM62" s="41" t="s">
        <v>161</v>
      </c>
      <c r="AN62" s="41" t="s">
        <v>161</v>
      </c>
      <c r="AO62" s="41" t="s">
        <v>161</v>
      </c>
      <c r="AP62" s="41" t="s">
        <v>161</v>
      </c>
      <c r="AQ62" s="41" t="s">
        <v>161</v>
      </c>
      <c r="AR62" s="41" t="s">
        <v>161</v>
      </c>
      <c r="AS62" s="41" t="s">
        <v>161</v>
      </c>
      <c r="AT62" s="41" t="s">
        <v>161</v>
      </c>
      <c r="AU62" s="41" t="s">
        <v>161</v>
      </c>
      <c r="AV62" s="41" t="s">
        <v>161</v>
      </c>
      <c r="AW62" s="41" t="s">
        <v>161</v>
      </c>
      <c r="AX62" s="41" t="s">
        <v>161</v>
      </c>
      <c r="AY62" s="41" t="s">
        <v>161</v>
      </c>
      <c r="AZ62" s="41" t="s">
        <v>161</v>
      </c>
      <c r="BA62" s="41" t="s">
        <v>161</v>
      </c>
      <c r="BB62" s="41" t="s">
        <v>161</v>
      </c>
      <c r="BC62" s="41" t="s">
        <v>161</v>
      </c>
      <c r="BD62" s="41" t="s">
        <v>161</v>
      </c>
      <c r="BE62" s="41" t="s">
        <v>161</v>
      </c>
      <c r="BF62" s="41" t="s">
        <v>161</v>
      </c>
      <c r="BG62" s="41" t="s">
        <v>161</v>
      </c>
      <c r="BH62" s="41" t="s">
        <v>161</v>
      </c>
      <c r="BI62" s="41" t="s">
        <v>161</v>
      </c>
      <c r="BJ62" s="41" t="s">
        <v>161</v>
      </c>
      <c r="BK62" s="41" t="s">
        <v>161</v>
      </c>
      <c r="BL62" s="41" t="s">
        <v>161</v>
      </c>
      <c r="BM62" s="41" t="s">
        <v>161</v>
      </c>
      <c r="BN62" s="41" t="s">
        <v>161</v>
      </c>
      <c r="BO62" s="41" t="s">
        <v>161</v>
      </c>
      <c r="BP62" s="41" t="s">
        <v>161</v>
      </c>
      <c r="BQ62" s="41" t="s">
        <v>161</v>
      </c>
      <c r="BR62" s="41" t="s">
        <v>161</v>
      </c>
      <c r="BS62" s="41" t="s">
        <v>161</v>
      </c>
      <c r="BT62" s="41" t="s">
        <v>161</v>
      </c>
      <c r="BU62" s="41" t="s">
        <v>161</v>
      </c>
      <c r="BV62" s="41" t="s">
        <v>161</v>
      </c>
      <c r="BW62" s="49" t="s">
        <v>161</v>
      </c>
    </row>
    <row r="63" spans="1:75" s="17" customFormat="1" x14ac:dyDescent="0.25">
      <c r="A63" s="45" t="s">
        <v>214</v>
      </c>
      <c r="B63" s="46" t="s">
        <v>185</v>
      </c>
      <c r="C63" s="34" t="s">
        <v>186</v>
      </c>
      <c r="D63" s="41" t="s">
        <v>166</v>
      </c>
      <c r="E63" s="41">
        <v>2018</v>
      </c>
      <c r="F63" s="41">
        <f t="shared" si="61"/>
        <v>2019</v>
      </c>
      <c r="G63" s="41">
        <v>2019</v>
      </c>
      <c r="H63" s="44">
        <f t="shared" si="62"/>
        <v>0.25253979449600006</v>
      </c>
      <c r="I63" s="44">
        <f t="shared" si="62"/>
        <v>2.8597581459499999</v>
      </c>
      <c r="J63" s="48">
        <v>42826</v>
      </c>
      <c r="K63" s="55">
        <f>0.38421075*1.18/10+(0.51002888)*0.323273049843987*1.18*1.065</f>
        <v>0.25253979449600006</v>
      </c>
      <c r="L63" s="55">
        <f>1.79080694/10+(2.51706803)*1.065</f>
        <v>2.8597581459499999</v>
      </c>
      <c r="M63" s="48">
        <v>42826</v>
      </c>
      <c r="N63" s="41" t="s">
        <v>161</v>
      </c>
      <c r="O63" s="26">
        <v>0</v>
      </c>
      <c r="P63" s="44" t="s">
        <v>161</v>
      </c>
      <c r="Q63" s="44" t="s">
        <v>161</v>
      </c>
      <c r="R63" s="44" t="s">
        <v>161</v>
      </c>
      <c r="S63" s="44" t="s">
        <v>161</v>
      </c>
      <c r="T63" s="44">
        <f t="shared" si="63"/>
        <v>2.9051933569999999</v>
      </c>
      <c r="U63" s="55">
        <f>1.79080694/10+(2.51706803)*1.065/1.18*1.2</f>
        <v>2.9051933569999999</v>
      </c>
      <c r="V63" s="44">
        <f t="shared" si="64"/>
        <v>2.9051933569999999</v>
      </c>
      <c r="W63" s="41"/>
      <c r="X63" s="44">
        <f t="shared" si="67"/>
        <v>2.9051933569999999</v>
      </c>
      <c r="Y63" s="44">
        <f t="shared" si="65"/>
        <v>2.7261126629999999</v>
      </c>
      <c r="Z63" s="44">
        <v>0</v>
      </c>
      <c r="AA63" s="44">
        <v>0</v>
      </c>
      <c r="AB63" s="44">
        <f t="shared" si="66"/>
        <v>2.7261126629999999</v>
      </c>
      <c r="AC63" s="44">
        <v>0</v>
      </c>
      <c r="AD63" s="44">
        <f t="shared" si="68"/>
        <v>2.7261126629999999</v>
      </c>
      <c r="AE63" s="44">
        <v>0</v>
      </c>
      <c r="AF63" s="44">
        <v>0</v>
      </c>
      <c r="AG63" s="44">
        <f>(2.51706803)*1.065/1.18*1.2</f>
        <v>2.7261126629999999</v>
      </c>
      <c r="AH63" s="44">
        <v>0</v>
      </c>
      <c r="AI63" s="41" t="s">
        <v>161</v>
      </c>
      <c r="AJ63" s="41" t="s">
        <v>161</v>
      </c>
      <c r="AK63" s="41" t="s">
        <v>161</v>
      </c>
      <c r="AL63" s="41" t="s">
        <v>161</v>
      </c>
      <c r="AM63" s="41" t="s">
        <v>161</v>
      </c>
      <c r="AN63" s="41" t="s">
        <v>161</v>
      </c>
      <c r="AO63" s="41" t="s">
        <v>161</v>
      </c>
      <c r="AP63" s="41" t="s">
        <v>161</v>
      </c>
      <c r="AQ63" s="41" t="s">
        <v>161</v>
      </c>
      <c r="AR63" s="41" t="s">
        <v>161</v>
      </c>
      <c r="AS63" s="41" t="s">
        <v>161</v>
      </c>
      <c r="AT63" s="41" t="s">
        <v>161</v>
      </c>
      <c r="AU63" s="41" t="s">
        <v>161</v>
      </c>
      <c r="AV63" s="41" t="s">
        <v>161</v>
      </c>
      <c r="AW63" s="41" t="s">
        <v>161</v>
      </c>
      <c r="AX63" s="41" t="s">
        <v>161</v>
      </c>
      <c r="AY63" s="41" t="s">
        <v>161</v>
      </c>
      <c r="AZ63" s="41" t="s">
        <v>161</v>
      </c>
      <c r="BA63" s="41" t="s">
        <v>161</v>
      </c>
      <c r="BB63" s="41" t="s">
        <v>161</v>
      </c>
      <c r="BC63" s="41" t="s">
        <v>161</v>
      </c>
      <c r="BD63" s="41" t="s">
        <v>161</v>
      </c>
      <c r="BE63" s="41" t="s">
        <v>161</v>
      </c>
      <c r="BF63" s="41" t="s">
        <v>161</v>
      </c>
      <c r="BG63" s="41" t="s">
        <v>161</v>
      </c>
      <c r="BH63" s="41" t="s">
        <v>161</v>
      </c>
      <c r="BI63" s="41" t="s">
        <v>161</v>
      </c>
      <c r="BJ63" s="41" t="s">
        <v>161</v>
      </c>
      <c r="BK63" s="41" t="s">
        <v>161</v>
      </c>
      <c r="BL63" s="41" t="s">
        <v>161</v>
      </c>
      <c r="BM63" s="41" t="s">
        <v>161</v>
      </c>
      <c r="BN63" s="41" t="s">
        <v>161</v>
      </c>
      <c r="BO63" s="41" t="s">
        <v>161</v>
      </c>
      <c r="BP63" s="41" t="s">
        <v>161</v>
      </c>
      <c r="BQ63" s="41" t="s">
        <v>161</v>
      </c>
      <c r="BR63" s="41" t="s">
        <v>161</v>
      </c>
      <c r="BS63" s="41" t="s">
        <v>161</v>
      </c>
      <c r="BT63" s="41" t="s">
        <v>161</v>
      </c>
      <c r="BU63" s="41" t="s">
        <v>161</v>
      </c>
      <c r="BV63" s="41" t="s">
        <v>161</v>
      </c>
      <c r="BW63" s="49" t="s">
        <v>161</v>
      </c>
    </row>
    <row r="64" spans="1:75" s="17" customFormat="1" x14ac:dyDescent="0.25">
      <c r="A64" s="45" t="s">
        <v>215</v>
      </c>
      <c r="B64" s="46" t="s">
        <v>187</v>
      </c>
      <c r="C64" s="34" t="s">
        <v>188</v>
      </c>
      <c r="D64" s="41" t="s">
        <v>166</v>
      </c>
      <c r="E64" s="41">
        <v>2018</v>
      </c>
      <c r="F64" s="41">
        <f t="shared" si="61"/>
        <v>2019</v>
      </c>
      <c r="G64" s="41">
        <v>2019</v>
      </c>
      <c r="H64" s="44">
        <f t="shared" si="62"/>
        <v>0.16000717161812253</v>
      </c>
      <c r="I64" s="44">
        <f t="shared" si="62"/>
        <v>1.5686139798499998</v>
      </c>
      <c r="J64" s="48">
        <v>42826</v>
      </c>
      <c r="K64" s="55">
        <f>0.38421075*1.18/10+(0.28226033)*0.323273049843987*1.18*1.065</f>
        <v>0.16000717161812253</v>
      </c>
      <c r="L64" s="55">
        <f>1.79080694/10+(1.30472609)*1.065</f>
        <v>1.5686139798499998</v>
      </c>
      <c r="M64" s="48">
        <v>42826</v>
      </c>
      <c r="N64" s="41" t="s">
        <v>161</v>
      </c>
      <c r="O64" s="26">
        <v>0</v>
      </c>
      <c r="P64" s="44" t="s">
        <v>161</v>
      </c>
      <c r="Q64" s="44" t="s">
        <v>161</v>
      </c>
      <c r="R64" s="44" t="s">
        <v>161</v>
      </c>
      <c r="S64" s="44" t="s">
        <v>161</v>
      </c>
      <c r="T64" s="44">
        <f t="shared" si="63"/>
        <v>1.5921653914745761</v>
      </c>
      <c r="U64" s="55">
        <f>1.79080694/10+(1.30472609)*1.065/1.18*1.2</f>
        <v>1.5921653914745761</v>
      </c>
      <c r="V64" s="44">
        <f t="shared" si="64"/>
        <v>1.5921653914745761</v>
      </c>
      <c r="W64" s="41"/>
      <c r="X64" s="44">
        <f t="shared" si="67"/>
        <v>1.5921653914745761</v>
      </c>
      <c r="Y64" s="44">
        <f t="shared" si="65"/>
        <v>1.4130846974745761</v>
      </c>
      <c r="Z64" s="44">
        <v>0</v>
      </c>
      <c r="AA64" s="44">
        <v>0</v>
      </c>
      <c r="AB64" s="44">
        <f t="shared" si="66"/>
        <v>1.4130846974745761</v>
      </c>
      <c r="AC64" s="44">
        <v>0</v>
      </c>
      <c r="AD64" s="44">
        <f t="shared" si="68"/>
        <v>1.4130846974745761</v>
      </c>
      <c r="AE64" s="44">
        <v>0</v>
      </c>
      <c r="AF64" s="44">
        <v>0</v>
      </c>
      <c r="AG64" s="44">
        <f>(1.30472609)*1.065/1.18*1.2</f>
        <v>1.4130846974745761</v>
      </c>
      <c r="AH64" s="44">
        <v>0</v>
      </c>
      <c r="AI64" s="41" t="s">
        <v>161</v>
      </c>
      <c r="AJ64" s="41" t="s">
        <v>161</v>
      </c>
      <c r="AK64" s="41" t="s">
        <v>161</v>
      </c>
      <c r="AL64" s="41" t="s">
        <v>161</v>
      </c>
      <c r="AM64" s="41" t="s">
        <v>161</v>
      </c>
      <c r="AN64" s="41" t="s">
        <v>161</v>
      </c>
      <c r="AO64" s="41" t="s">
        <v>161</v>
      </c>
      <c r="AP64" s="41" t="s">
        <v>161</v>
      </c>
      <c r="AQ64" s="41" t="s">
        <v>161</v>
      </c>
      <c r="AR64" s="41" t="s">
        <v>161</v>
      </c>
      <c r="AS64" s="41" t="s">
        <v>161</v>
      </c>
      <c r="AT64" s="41" t="s">
        <v>161</v>
      </c>
      <c r="AU64" s="41" t="s">
        <v>161</v>
      </c>
      <c r="AV64" s="41" t="s">
        <v>161</v>
      </c>
      <c r="AW64" s="41" t="s">
        <v>161</v>
      </c>
      <c r="AX64" s="41" t="s">
        <v>161</v>
      </c>
      <c r="AY64" s="41" t="s">
        <v>161</v>
      </c>
      <c r="AZ64" s="41" t="s">
        <v>161</v>
      </c>
      <c r="BA64" s="41" t="s">
        <v>161</v>
      </c>
      <c r="BB64" s="41" t="s">
        <v>161</v>
      </c>
      <c r="BC64" s="41" t="s">
        <v>161</v>
      </c>
      <c r="BD64" s="41" t="s">
        <v>161</v>
      </c>
      <c r="BE64" s="41" t="s">
        <v>161</v>
      </c>
      <c r="BF64" s="41" t="s">
        <v>161</v>
      </c>
      <c r="BG64" s="41" t="s">
        <v>161</v>
      </c>
      <c r="BH64" s="41" t="s">
        <v>161</v>
      </c>
      <c r="BI64" s="41" t="s">
        <v>161</v>
      </c>
      <c r="BJ64" s="41" t="s">
        <v>161</v>
      </c>
      <c r="BK64" s="41" t="s">
        <v>161</v>
      </c>
      <c r="BL64" s="41" t="s">
        <v>161</v>
      </c>
      <c r="BM64" s="41" t="s">
        <v>161</v>
      </c>
      <c r="BN64" s="41" t="s">
        <v>161</v>
      </c>
      <c r="BO64" s="41" t="s">
        <v>161</v>
      </c>
      <c r="BP64" s="41" t="s">
        <v>161</v>
      </c>
      <c r="BQ64" s="41" t="s">
        <v>161</v>
      </c>
      <c r="BR64" s="41" t="s">
        <v>161</v>
      </c>
      <c r="BS64" s="41" t="s">
        <v>161</v>
      </c>
      <c r="BT64" s="41" t="s">
        <v>161</v>
      </c>
      <c r="BU64" s="41" t="s">
        <v>161</v>
      </c>
      <c r="BV64" s="41" t="s">
        <v>161</v>
      </c>
      <c r="BW64" s="49" t="s">
        <v>161</v>
      </c>
    </row>
    <row r="65" spans="1:75" s="17" customFormat="1" x14ac:dyDescent="0.25">
      <c r="A65" s="45" t="s">
        <v>216</v>
      </c>
      <c r="B65" s="46" t="s">
        <v>189</v>
      </c>
      <c r="C65" s="34" t="s">
        <v>190</v>
      </c>
      <c r="D65" s="41" t="s">
        <v>166</v>
      </c>
      <c r="E65" s="41">
        <v>2018</v>
      </c>
      <c r="F65" s="41">
        <f t="shared" si="61"/>
        <v>2019</v>
      </c>
      <c r="G65" s="41">
        <v>2019</v>
      </c>
      <c r="H65" s="44">
        <f t="shared" si="62"/>
        <v>0.21487805815667477</v>
      </c>
      <c r="I65" s="44">
        <f t="shared" si="62"/>
        <v>2.3526412920499999</v>
      </c>
      <c r="J65" s="48">
        <v>42826</v>
      </c>
      <c r="K65" s="55">
        <f>0.38421075*1.18/10+(0.41732472)*0.323273049843987*1.18*1.065</f>
        <v>0.21487805815667477</v>
      </c>
      <c r="L65" s="55">
        <f>1.79080694/10+(2.04090197)*1.065</f>
        <v>2.3526412920499999</v>
      </c>
      <c r="M65" s="48">
        <v>42826</v>
      </c>
      <c r="N65" s="41" t="s">
        <v>161</v>
      </c>
      <c r="O65" s="26">
        <v>0</v>
      </c>
      <c r="P65" s="44" t="s">
        <v>161</v>
      </c>
      <c r="Q65" s="44" t="s">
        <v>161</v>
      </c>
      <c r="R65" s="44" t="s">
        <v>161</v>
      </c>
      <c r="S65" s="44" t="s">
        <v>161</v>
      </c>
      <c r="T65" s="44">
        <f t="shared" si="63"/>
        <v>2.3894813021864407</v>
      </c>
      <c r="U65" s="55">
        <f>1.79080694/10+(2.04090197)*1.065/1.18*1.2</f>
        <v>2.3894813021864407</v>
      </c>
      <c r="V65" s="44">
        <f t="shared" si="64"/>
        <v>2.3894813021864407</v>
      </c>
      <c r="W65" s="41"/>
      <c r="X65" s="44">
        <f t="shared" si="67"/>
        <v>2.3894813021864407</v>
      </c>
      <c r="Y65" s="44">
        <f t="shared" si="65"/>
        <v>2.2104006081864407</v>
      </c>
      <c r="Z65" s="44">
        <v>0</v>
      </c>
      <c r="AA65" s="44">
        <v>0</v>
      </c>
      <c r="AB65" s="44">
        <f t="shared" si="66"/>
        <v>2.2104006081864407</v>
      </c>
      <c r="AC65" s="44">
        <v>0</v>
      </c>
      <c r="AD65" s="44">
        <f t="shared" si="68"/>
        <v>2.2104006081864407</v>
      </c>
      <c r="AE65" s="44">
        <v>0</v>
      </c>
      <c r="AF65" s="44">
        <v>0</v>
      </c>
      <c r="AG65" s="44">
        <f>(2.04090197)*1.065/1.18*1.2</f>
        <v>2.2104006081864407</v>
      </c>
      <c r="AH65" s="44">
        <v>0</v>
      </c>
      <c r="AI65" s="41" t="s">
        <v>161</v>
      </c>
      <c r="AJ65" s="41" t="s">
        <v>161</v>
      </c>
      <c r="AK65" s="41" t="s">
        <v>161</v>
      </c>
      <c r="AL65" s="41" t="s">
        <v>161</v>
      </c>
      <c r="AM65" s="41" t="s">
        <v>161</v>
      </c>
      <c r="AN65" s="41" t="s">
        <v>161</v>
      </c>
      <c r="AO65" s="41" t="s">
        <v>161</v>
      </c>
      <c r="AP65" s="41" t="s">
        <v>161</v>
      </c>
      <c r="AQ65" s="41" t="s">
        <v>161</v>
      </c>
      <c r="AR65" s="41" t="s">
        <v>161</v>
      </c>
      <c r="AS65" s="41" t="s">
        <v>161</v>
      </c>
      <c r="AT65" s="41" t="s">
        <v>161</v>
      </c>
      <c r="AU65" s="41" t="s">
        <v>161</v>
      </c>
      <c r="AV65" s="41" t="s">
        <v>161</v>
      </c>
      <c r="AW65" s="41" t="s">
        <v>161</v>
      </c>
      <c r="AX65" s="41" t="s">
        <v>161</v>
      </c>
      <c r="AY65" s="41" t="s">
        <v>161</v>
      </c>
      <c r="AZ65" s="41" t="s">
        <v>161</v>
      </c>
      <c r="BA65" s="41" t="s">
        <v>161</v>
      </c>
      <c r="BB65" s="41" t="s">
        <v>161</v>
      </c>
      <c r="BC65" s="41" t="s">
        <v>161</v>
      </c>
      <c r="BD65" s="41" t="s">
        <v>161</v>
      </c>
      <c r="BE65" s="41" t="s">
        <v>161</v>
      </c>
      <c r="BF65" s="41" t="s">
        <v>161</v>
      </c>
      <c r="BG65" s="41" t="s">
        <v>161</v>
      </c>
      <c r="BH65" s="41" t="s">
        <v>161</v>
      </c>
      <c r="BI65" s="41" t="s">
        <v>161</v>
      </c>
      <c r="BJ65" s="41" t="s">
        <v>161</v>
      </c>
      <c r="BK65" s="41" t="s">
        <v>161</v>
      </c>
      <c r="BL65" s="41" t="s">
        <v>161</v>
      </c>
      <c r="BM65" s="41" t="s">
        <v>161</v>
      </c>
      <c r="BN65" s="41" t="s">
        <v>161</v>
      </c>
      <c r="BO65" s="41" t="s">
        <v>161</v>
      </c>
      <c r="BP65" s="41" t="s">
        <v>161</v>
      </c>
      <c r="BQ65" s="41" t="s">
        <v>161</v>
      </c>
      <c r="BR65" s="41" t="s">
        <v>161</v>
      </c>
      <c r="BS65" s="41" t="s">
        <v>161</v>
      </c>
      <c r="BT65" s="41" t="s">
        <v>161</v>
      </c>
      <c r="BU65" s="41" t="s">
        <v>161</v>
      </c>
      <c r="BV65" s="41" t="s">
        <v>161</v>
      </c>
      <c r="BW65" s="49" t="s">
        <v>161</v>
      </c>
    </row>
    <row r="66" spans="1:75" s="17" customFormat="1" x14ac:dyDescent="0.25">
      <c r="A66" s="45" t="s">
        <v>217</v>
      </c>
      <c r="B66" s="46" t="s">
        <v>191</v>
      </c>
      <c r="C66" s="34" t="s">
        <v>192</v>
      </c>
      <c r="D66" s="41" t="s">
        <v>166</v>
      </c>
      <c r="E66" s="41">
        <v>2018</v>
      </c>
      <c r="F66" s="41">
        <f t="shared" si="61"/>
        <v>2019</v>
      </c>
      <c r="G66" s="41">
        <v>2019</v>
      </c>
      <c r="H66" s="44">
        <f t="shared" si="62"/>
        <v>0.14427145549609635</v>
      </c>
      <c r="I66" s="44">
        <f t="shared" si="62"/>
        <v>1.42275654275</v>
      </c>
      <c r="J66" s="48">
        <v>42826</v>
      </c>
      <c r="K66" s="55">
        <f>0.38421075*1.18/10+(0.24352695)*0.323273049843987*1.18*1.065</f>
        <v>0.14427145549609635</v>
      </c>
      <c r="L66" s="55">
        <f>1.79080694/10+(1.16777075)*1.065</f>
        <v>1.42275654275</v>
      </c>
      <c r="M66" s="48">
        <v>42826</v>
      </c>
      <c r="N66" s="41" t="s">
        <v>161</v>
      </c>
      <c r="O66" s="26">
        <v>0</v>
      </c>
      <c r="P66" s="44" t="s">
        <v>161</v>
      </c>
      <c r="Q66" s="44" t="s">
        <v>161</v>
      </c>
      <c r="R66" s="44" t="s">
        <v>161</v>
      </c>
      <c r="S66" s="44" t="s">
        <v>161</v>
      </c>
      <c r="T66" s="44">
        <f t="shared" si="63"/>
        <v>1.4438357944237288</v>
      </c>
      <c r="U66" s="55">
        <f>1.79080694/10+(1.16777075)*1.065/1.18*1.2</f>
        <v>1.4438357944237288</v>
      </c>
      <c r="V66" s="44">
        <f t="shared" si="64"/>
        <v>1.4438357944237288</v>
      </c>
      <c r="W66" s="41"/>
      <c r="X66" s="44">
        <f t="shared" si="67"/>
        <v>1.4438357944237288</v>
      </c>
      <c r="Y66" s="44">
        <f t="shared" si="65"/>
        <v>1.2647551004237287</v>
      </c>
      <c r="Z66" s="44">
        <v>0</v>
      </c>
      <c r="AA66" s="44">
        <v>0</v>
      </c>
      <c r="AB66" s="44">
        <f t="shared" si="66"/>
        <v>1.2647551004237287</v>
      </c>
      <c r="AC66" s="44">
        <v>0</v>
      </c>
      <c r="AD66" s="44">
        <f t="shared" si="68"/>
        <v>1.2647551004237287</v>
      </c>
      <c r="AE66" s="44">
        <v>0</v>
      </c>
      <c r="AF66" s="44">
        <v>0</v>
      </c>
      <c r="AG66" s="44">
        <f>(1.16777075)*1.065/1.18*1.2</f>
        <v>1.2647551004237287</v>
      </c>
      <c r="AH66" s="44">
        <v>0</v>
      </c>
      <c r="AI66" s="41" t="s">
        <v>161</v>
      </c>
      <c r="AJ66" s="41" t="s">
        <v>161</v>
      </c>
      <c r="AK66" s="41" t="s">
        <v>161</v>
      </c>
      <c r="AL66" s="41" t="s">
        <v>161</v>
      </c>
      <c r="AM66" s="41" t="s">
        <v>161</v>
      </c>
      <c r="AN66" s="41" t="s">
        <v>161</v>
      </c>
      <c r="AO66" s="41" t="s">
        <v>161</v>
      </c>
      <c r="AP66" s="41" t="s">
        <v>161</v>
      </c>
      <c r="AQ66" s="41" t="s">
        <v>161</v>
      </c>
      <c r="AR66" s="41" t="s">
        <v>161</v>
      </c>
      <c r="AS66" s="41" t="s">
        <v>161</v>
      </c>
      <c r="AT66" s="41" t="s">
        <v>161</v>
      </c>
      <c r="AU66" s="41" t="s">
        <v>161</v>
      </c>
      <c r="AV66" s="41" t="s">
        <v>161</v>
      </c>
      <c r="AW66" s="41" t="s">
        <v>161</v>
      </c>
      <c r="AX66" s="41" t="s">
        <v>161</v>
      </c>
      <c r="AY66" s="41" t="s">
        <v>161</v>
      </c>
      <c r="AZ66" s="41" t="s">
        <v>161</v>
      </c>
      <c r="BA66" s="41" t="s">
        <v>161</v>
      </c>
      <c r="BB66" s="41" t="s">
        <v>161</v>
      </c>
      <c r="BC66" s="41" t="s">
        <v>161</v>
      </c>
      <c r="BD66" s="41" t="s">
        <v>161</v>
      </c>
      <c r="BE66" s="41" t="s">
        <v>161</v>
      </c>
      <c r="BF66" s="41" t="s">
        <v>161</v>
      </c>
      <c r="BG66" s="41" t="s">
        <v>161</v>
      </c>
      <c r="BH66" s="41" t="s">
        <v>161</v>
      </c>
      <c r="BI66" s="41" t="s">
        <v>161</v>
      </c>
      <c r="BJ66" s="41" t="s">
        <v>161</v>
      </c>
      <c r="BK66" s="41" t="s">
        <v>161</v>
      </c>
      <c r="BL66" s="41" t="s">
        <v>161</v>
      </c>
      <c r="BM66" s="41" t="s">
        <v>161</v>
      </c>
      <c r="BN66" s="41" t="s">
        <v>161</v>
      </c>
      <c r="BO66" s="41" t="s">
        <v>161</v>
      </c>
      <c r="BP66" s="41" t="s">
        <v>161</v>
      </c>
      <c r="BQ66" s="41" t="s">
        <v>161</v>
      </c>
      <c r="BR66" s="41" t="s">
        <v>161</v>
      </c>
      <c r="BS66" s="41" t="s">
        <v>161</v>
      </c>
      <c r="BT66" s="41" t="s">
        <v>161</v>
      </c>
      <c r="BU66" s="41" t="s">
        <v>161</v>
      </c>
      <c r="BV66" s="41" t="s">
        <v>161</v>
      </c>
      <c r="BW66" s="49" t="s">
        <v>161</v>
      </c>
    </row>
    <row r="67" spans="1:75" s="17" customFormat="1" x14ac:dyDescent="0.25">
      <c r="A67" s="45" t="s">
        <v>218</v>
      </c>
      <c r="B67" s="46" t="s">
        <v>193</v>
      </c>
      <c r="C67" s="34" t="s">
        <v>194</v>
      </c>
      <c r="D67" s="41" t="s">
        <v>166</v>
      </c>
      <c r="E67" s="41">
        <v>2018</v>
      </c>
      <c r="F67" s="41">
        <f t="shared" si="61"/>
        <v>2019</v>
      </c>
      <c r="G67" s="41">
        <v>2019</v>
      </c>
      <c r="H67" s="44">
        <f t="shared" ref="H67:H68" si="69">K67</f>
        <v>0.20340222140663336</v>
      </c>
      <c r="I67" s="44">
        <f t="shared" ref="I67:I68" si="70">L67</f>
        <v>2.2159306074499998</v>
      </c>
      <c r="J67" s="48">
        <v>42826</v>
      </c>
      <c r="K67" s="55">
        <f>0.38421075*1.18/10+(0.38907701)*0.323273049843987*1.18*1.065</f>
        <v>0.20340222140663336</v>
      </c>
      <c r="L67" s="55">
        <f>1.79080694/10+(1.91253513)*1.065</f>
        <v>2.2159306074499998</v>
      </c>
      <c r="M67" s="48">
        <v>42826</v>
      </c>
      <c r="N67" s="41" t="s">
        <v>161</v>
      </c>
      <c r="O67" s="26">
        <v>0</v>
      </c>
      <c r="P67" s="44" t="s">
        <v>161</v>
      </c>
      <c r="Q67" s="44" t="s">
        <v>161</v>
      </c>
      <c r="R67" s="44" t="s">
        <v>161</v>
      </c>
      <c r="S67" s="44" t="s">
        <v>161</v>
      </c>
      <c r="T67" s="44">
        <f t="shared" ref="T67:T68" si="71">U67</f>
        <v>2.2504534873389828</v>
      </c>
      <c r="U67" s="55">
        <f>1.79080694/10+(1.91253513)*1.065/1.18*1.2</f>
        <v>2.2504534873389828</v>
      </c>
      <c r="V67" s="44">
        <f t="shared" ref="V67:V68" si="72">X67</f>
        <v>2.2504534873389828</v>
      </c>
      <c r="W67" s="41"/>
      <c r="X67" s="44">
        <f t="shared" si="67"/>
        <v>2.2504534873389828</v>
      </c>
      <c r="Y67" s="44">
        <f t="shared" ref="Y67:Y68" si="73">AD67</f>
        <v>2.0713727933389827</v>
      </c>
      <c r="Z67" s="44">
        <v>0</v>
      </c>
      <c r="AA67" s="44">
        <v>0</v>
      </c>
      <c r="AB67" s="44">
        <f t="shared" ref="AB67:AB68" si="74">AG67</f>
        <v>2.0713727933389827</v>
      </c>
      <c r="AC67" s="44">
        <v>0</v>
      </c>
      <c r="AD67" s="44">
        <f t="shared" si="68"/>
        <v>2.0713727933389827</v>
      </c>
      <c r="AE67" s="44">
        <v>0</v>
      </c>
      <c r="AF67" s="44">
        <v>0</v>
      </c>
      <c r="AG67" s="44">
        <f>(1.91253513)*1.065/1.18*1.2</f>
        <v>2.0713727933389827</v>
      </c>
      <c r="AH67" s="44">
        <v>0</v>
      </c>
      <c r="AI67" s="41" t="s">
        <v>161</v>
      </c>
      <c r="AJ67" s="41" t="s">
        <v>161</v>
      </c>
      <c r="AK67" s="41" t="s">
        <v>161</v>
      </c>
      <c r="AL67" s="41" t="s">
        <v>161</v>
      </c>
      <c r="AM67" s="41" t="s">
        <v>161</v>
      </c>
      <c r="AN67" s="41" t="s">
        <v>161</v>
      </c>
      <c r="AO67" s="41" t="s">
        <v>161</v>
      </c>
      <c r="AP67" s="41" t="s">
        <v>161</v>
      </c>
      <c r="AQ67" s="41" t="s">
        <v>161</v>
      </c>
      <c r="AR67" s="41" t="s">
        <v>161</v>
      </c>
      <c r="AS67" s="41" t="s">
        <v>161</v>
      </c>
      <c r="AT67" s="41" t="s">
        <v>161</v>
      </c>
      <c r="AU67" s="41" t="s">
        <v>161</v>
      </c>
      <c r="AV67" s="41" t="s">
        <v>161</v>
      </c>
      <c r="AW67" s="41" t="s">
        <v>161</v>
      </c>
      <c r="AX67" s="41" t="s">
        <v>161</v>
      </c>
      <c r="AY67" s="41" t="s">
        <v>161</v>
      </c>
      <c r="AZ67" s="41" t="s">
        <v>161</v>
      </c>
      <c r="BA67" s="41" t="s">
        <v>161</v>
      </c>
      <c r="BB67" s="41" t="s">
        <v>161</v>
      </c>
      <c r="BC67" s="41" t="s">
        <v>161</v>
      </c>
      <c r="BD67" s="41" t="s">
        <v>161</v>
      </c>
      <c r="BE67" s="41" t="s">
        <v>161</v>
      </c>
      <c r="BF67" s="41" t="s">
        <v>161</v>
      </c>
      <c r="BG67" s="41" t="s">
        <v>161</v>
      </c>
      <c r="BH67" s="41" t="s">
        <v>161</v>
      </c>
      <c r="BI67" s="41" t="s">
        <v>161</v>
      </c>
      <c r="BJ67" s="41" t="s">
        <v>161</v>
      </c>
      <c r="BK67" s="41" t="s">
        <v>161</v>
      </c>
      <c r="BL67" s="41" t="s">
        <v>161</v>
      </c>
      <c r="BM67" s="41" t="s">
        <v>161</v>
      </c>
      <c r="BN67" s="41" t="s">
        <v>161</v>
      </c>
      <c r="BO67" s="41" t="s">
        <v>161</v>
      </c>
      <c r="BP67" s="41" t="s">
        <v>161</v>
      </c>
      <c r="BQ67" s="41" t="s">
        <v>161</v>
      </c>
      <c r="BR67" s="41" t="s">
        <v>161</v>
      </c>
      <c r="BS67" s="41" t="s">
        <v>161</v>
      </c>
      <c r="BT67" s="41" t="s">
        <v>161</v>
      </c>
      <c r="BU67" s="41" t="s">
        <v>161</v>
      </c>
      <c r="BV67" s="41" t="s">
        <v>161</v>
      </c>
      <c r="BW67" s="49" t="s">
        <v>161</v>
      </c>
    </row>
    <row r="68" spans="1:75" s="17" customFormat="1" ht="31.5" x14ac:dyDescent="0.25">
      <c r="A68" s="45" t="s">
        <v>219</v>
      </c>
      <c r="B68" s="46" t="s">
        <v>195</v>
      </c>
      <c r="C68" s="34" t="s">
        <v>196</v>
      </c>
      <c r="D68" s="41" t="s">
        <v>166</v>
      </c>
      <c r="E68" s="41">
        <v>2018</v>
      </c>
      <c r="F68" s="41">
        <f t="shared" si="61"/>
        <v>2019</v>
      </c>
      <c r="G68" s="41">
        <v>2019</v>
      </c>
      <c r="H68" s="44">
        <f t="shared" si="69"/>
        <v>0.23029250198936141</v>
      </c>
      <c r="I68" s="44">
        <f t="shared" si="70"/>
        <v>2.4831476593999997</v>
      </c>
      <c r="J68" s="48">
        <v>42826</v>
      </c>
      <c r="K68" s="55">
        <f>0.38421075*1.18/10+(0.45526729)*0.323273049843987*1.18*1.065</f>
        <v>0.23029250198936141</v>
      </c>
      <c r="L68" s="55">
        <f>1.79080694/10+(2.16344316)*1.065</f>
        <v>2.4831476593999997</v>
      </c>
      <c r="M68" s="48">
        <v>42826</v>
      </c>
      <c r="N68" s="41" t="s">
        <v>161</v>
      </c>
      <c r="O68" s="26">
        <v>0</v>
      </c>
      <c r="P68" s="44" t="s">
        <v>161</v>
      </c>
      <c r="Q68" s="44" t="s">
        <v>161</v>
      </c>
      <c r="R68" s="44" t="s">
        <v>161</v>
      </c>
      <c r="S68" s="44" t="s">
        <v>161</v>
      </c>
      <c r="T68" s="44">
        <f t="shared" si="71"/>
        <v>2.5221996418644066</v>
      </c>
      <c r="U68" s="55">
        <f>1.79080694/10+(2.16344316)*1.065/1.18*1.2</f>
        <v>2.5221996418644066</v>
      </c>
      <c r="V68" s="44">
        <f t="shared" si="72"/>
        <v>2.5221996418644066</v>
      </c>
      <c r="W68" s="41"/>
      <c r="X68" s="44">
        <f t="shared" si="67"/>
        <v>2.5221996418644066</v>
      </c>
      <c r="Y68" s="44">
        <f t="shared" si="73"/>
        <v>2.3431189478644066</v>
      </c>
      <c r="Z68" s="44">
        <v>0</v>
      </c>
      <c r="AA68" s="44">
        <v>0</v>
      </c>
      <c r="AB68" s="44">
        <f t="shared" si="74"/>
        <v>2.3431189478644066</v>
      </c>
      <c r="AC68" s="44">
        <v>0</v>
      </c>
      <c r="AD68" s="44">
        <f t="shared" si="68"/>
        <v>2.3431189478644066</v>
      </c>
      <c r="AE68" s="44">
        <v>0</v>
      </c>
      <c r="AF68" s="44">
        <v>0</v>
      </c>
      <c r="AG68" s="44">
        <f>(2.16344316)*1.065/1.18*1.2</f>
        <v>2.3431189478644066</v>
      </c>
      <c r="AH68" s="44">
        <v>0</v>
      </c>
      <c r="AI68" s="41" t="s">
        <v>161</v>
      </c>
      <c r="AJ68" s="41" t="s">
        <v>161</v>
      </c>
      <c r="AK68" s="41" t="s">
        <v>161</v>
      </c>
      <c r="AL68" s="41" t="s">
        <v>161</v>
      </c>
      <c r="AM68" s="41" t="s">
        <v>161</v>
      </c>
      <c r="AN68" s="41" t="s">
        <v>161</v>
      </c>
      <c r="AO68" s="41" t="s">
        <v>161</v>
      </c>
      <c r="AP68" s="41" t="s">
        <v>161</v>
      </c>
      <c r="AQ68" s="41" t="s">
        <v>161</v>
      </c>
      <c r="AR68" s="41" t="s">
        <v>161</v>
      </c>
      <c r="AS68" s="41" t="s">
        <v>161</v>
      </c>
      <c r="AT68" s="41" t="s">
        <v>161</v>
      </c>
      <c r="AU68" s="41" t="s">
        <v>161</v>
      </c>
      <c r="AV68" s="41" t="s">
        <v>161</v>
      </c>
      <c r="AW68" s="41" t="s">
        <v>161</v>
      </c>
      <c r="AX68" s="41" t="s">
        <v>161</v>
      </c>
      <c r="AY68" s="41" t="s">
        <v>161</v>
      </c>
      <c r="AZ68" s="41" t="s">
        <v>161</v>
      </c>
      <c r="BA68" s="41" t="s">
        <v>161</v>
      </c>
      <c r="BB68" s="41" t="s">
        <v>161</v>
      </c>
      <c r="BC68" s="41" t="s">
        <v>161</v>
      </c>
      <c r="BD68" s="41" t="s">
        <v>161</v>
      </c>
      <c r="BE68" s="41" t="s">
        <v>161</v>
      </c>
      <c r="BF68" s="41" t="s">
        <v>161</v>
      </c>
      <c r="BG68" s="41" t="s">
        <v>161</v>
      </c>
      <c r="BH68" s="41" t="s">
        <v>161</v>
      </c>
      <c r="BI68" s="41" t="s">
        <v>161</v>
      </c>
      <c r="BJ68" s="41" t="s">
        <v>161</v>
      </c>
      <c r="BK68" s="41" t="s">
        <v>161</v>
      </c>
      <c r="BL68" s="41" t="s">
        <v>161</v>
      </c>
      <c r="BM68" s="41" t="s">
        <v>161</v>
      </c>
      <c r="BN68" s="41" t="s">
        <v>161</v>
      </c>
      <c r="BO68" s="41" t="s">
        <v>161</v>
      </c>
      <c r="BP68" s="41" t="s">
        <v>161</v>
      </c>
      <c r="BQ68" s="41" t="s">
        <v>161</v>
      </c>
      <c r="BR68" s="41" t="s">
        <v>161</v>
      </c>
      <c r="BS68" s="41" t="s">
        <v>161</v>
      </c>
      <c r="BT68" s="41" t="s">
        <v>161</v>
      </c>
      <c r="BU68" s="41" t="s">
        <v>161</v>
      </c>
      <c r="BV68" s="41" t="s">
        <v>161</v>
      </c>
      <c r="BW68" s="49" t="s">
        <v>161</v>
      </c>
    </row>
    <row r="69" spans="1:75" s="17" customFormat="1" ht="47.25" x14ac:dyDescent="0.25">
      <c r="A69" s="42" t="s">
        <v>119</v>
      </c>
      <c r="B69" s="43" t="s">
        <v>120</v>
      </c>
      <c r="C69" s="41" t="s">
        <v>161</v>
      </c>
      <c r="D69" s="41" t="s">
        <v>161</v>
      </c>
      <c r="E69" s="41" t="s">
        <v>161</v>
      </c>
      <c r="F69" s="41" t="s">
        <v>161</v>
      </c>
      <c r="G69" s="41" t="s">
        <v>161</v>
      </c>
      <c r="H69" s="44">
        <v>0</v>
      </c>
      <c r="I69" s="44">
        <v>0</v>
      </c>
      <c r="J69" s="41" t="s">
        <v>161</v>
      </c>
      <c r="K69" s="44">
        <v>0</v>
      </c>
      <c r="L69" s="44">
        <v>0</v>
      </c>
      <c r="M69" s="41" t="s">
        <v>161</v>
      </c>
      <c r="N69" s="41" t="s">
        <v>161</v>
      </c>
      <c r="O69" s="41" t="s">
        <v>161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1" t="s">
        <v>161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f>AD71</f>
        <v>2.1906639999999999</v>
      </c>
      <c r="AE69" s="44">
        <v>0</v>
      </c>
      <c r="AF69" s="44">
        <v>0</v>
      </c>
      <c r="AG69" s="44">
        <f>AG71</f>
        <v>2.1906639999999999</v>
      </c>
      <c r="AH69" s="44">
        <v>0</v>
      </c>
      <c r="AI69" s="41" t="s">
        <v>161</v>
      </c>
      <c r="AJ69" s="41" t="s">
        <v>161</v>
      </c>
      <c r="AK69" s="41" t="s">
        <v>161</v>
      </c>
      <c r="AL69" s="41" t="s">
        <v>161</v>
      </c>
      <c r="AM69" s="41" t="s">
        <v>161</v>
      </c>
      <c r="AN69" s="41" t="s">
        <v>161</v>
      </c>
      <c r="AO69" s="41" t="s">
        <v>161</v>
      </c>
      <c r="AP69" s="41" t="s">
        <v>161</v>
      </c>
      <c r="AQ69" s="41" t="s">
        <v>161</v>
      </c>
      <c r="AR69" s="41" t="s">
        <v>161</v>
      </c>
      <c r="AS69" s="41" t="s">
        <v>161</v>
      </c>
      <c r="AT69" s="41" t="s">
        <v>161</v>
      </c>
      <c r="AU69" s="41" t="s">
        <v>161</v>
      </c>
      <c r="AV69" s="41" t="s">
        <v>161</v>
      </c>
      <c r="AW69" s="41" t="s">
        <v>161</v>
      </c>
      <c r="AX69" s="41" t="s">
        <v>161</v>
      </c>
      <c r="AY69" s="41" t="s">
        <v>161</v>
      </c>
      <c r="AZ69" s="41" t="s">
        <v>161</v>
      </c>
      <c r="BA69" s="41" t="s">
        <v>161</v>
      </c>
      <c r="BB69" s="41" t="s">
        <v>161</v>
      </c>
      <c r="BC69" s="41" t="s">
        <v>161</v>
      </c>
      <c r="BD69" s="41" t="s">
        <v>161</v>
      </c>
      <c r="BE69" s="41" t="s">
        <v>161</v>
      </c>
      <c r="BF69" s="41" t="s">
        <v>161</v>
      </c>
      <c r="BG69" s="41" t="s">
        <v>161</v>
      </c>
      <c r="BH69" s="41" t="s">
        <v>161</v>
      </c>
      <c r="BI69" s="41" t="s">
        <v>161</v>
      </c>
      <c r="BJ69" s="41" t="s">
        <v>161</v>
      </c>
      <c r="BK69" s="41" t="s">
        <v>161</v>
      </c>
      <c r="BL69" s="41" t="s">
        <v>161</v>
      </c>
      <c r="BM69" s="41" t="s">
        <v>161</v>
      </c>
      <c r="BN69" s="41" t="s">
        <v>161</v>
      </c>
      <c r="BO69" s="41" t="s">
        <v>161</v>
      </c>
      <c r="BP69" s="41" t="s">
        <v>161</v>
      </c>
      <c r="BQ69" s="41" t="s">
        <v>161</v>
      </c>
      <c r="BR69" s="41" t="s">
        <v>161</v>
      </c>
      <c r="BS69" s="41" t="s">
        <v>161</v>
      </c>
      <c r="BT69" s="41" t="s">
        <v>161</v>
      </c>
      <c r="BU69" s="41" t="s">
        <v>161</v>
      </c>
      <c r="BV69" s="41" t="s">
        <v>161</v>
      </c>
      <c r="BW69" s="41" t="s">
        <v>161</v>
      </c>
    </row>
    <row r="70" spans="1:75" s="17" customFormat="1" ht="31.5" x14ac:dyDescent="0.25">
      <c r="A70" s="42" t="s">
        <v>121</v>
      </c>
      <c r="B70" s="43" t="s">
        <v>122</v>
      </c>
      <c r="C70" s="41" t="s">
        <v>161</v>
      </c>
      <c r="D70" s="41" t="s">
        <v>161</v>
      </c>
      <c r="E70" s="41" t="s">
        <v>161</v>
      </c>
      <c r="F70" s="41" t="s">
        <v>161</v>
      </c>
      <c r="G70" s="41" t="s">
        <v>161</v>
      </c>
      <c r="H70" s="44">
        <v>0</v>
      </c>
      <c r="I70" s="44">
        <v>0</v>
      </c>
      <c r="J70" s="41" t="s">
        <v>161</v>
      </c>
      <c r="K70" s="44">
        <v>0</v>
      </c>
      <c r="L70" s="44">
        <v>0</v>
      </c>
      <c r="M70" s="41" t="s">
        <v>161</v>
      </c>
      <c r="N70" s="41" t="s">
        <v>161</v>
      </c>
      <c r="O70" s="41" t="s">
        <v>161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1" t="s">
        <v>161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1" t="s">
        <v>161</v>
      </c>
      <c r="AJ70" s="41" t="s">
        <v>161</v>
      </c>
      <c r="AK70" s="41" t="s">
        <v>161</v>
      </c>
      <c r="AL70" s="41" t="s">
        <v>161</v>
      </c>
      <c r="AM70" s="41" t="s">
        <v>161</v>
      </c>
      <c r="AN70" s="41" t="s">
        <v>161</v>
      </c>
      <c r="AO70" s="41" t="s">
        <v>161</v>
      </c>
      <c r="AP70" s="41" t="s">
        <v>161</v>
      </c>
      <c r="AQ70" s="41" t="s">
        <v>161</v>
      </c>
      <c r="AR70" s="41" t="s">
        <v>161</v>
      </c>
      <c r="AS70" s="41" t="s">
        <v>161</v>
      </c>
      <c r="AT70" s="41" t="s">
        <v>161</v>
      </c>
      <c r="AU70" s="41" t="s">
        <v>161</v>
      </c>
      <c r="AV70" s="41" t="s">
        <v>161</v>
      </c>
      <c r="AW70" s="41" t="s">
        <v>161</v>
      </c>
      <c r="AX70" s="41" t="s">
        <v>161</v>
      </c>
      <c r="AY70" s="41" t="s">
        <v>161</v>
      </c>
      <c r="AZ70" s="41" t="s">
        <v>161</v>
      </c>
      <c r="BA70" s="41" t="s">
        <v>161</v>
      </c>
      <c r="BB70" s="41" t="s">
        <v>161</v>
      </c>
      <c r="BC70" s="41" t="s">
        <v>161</v>
      </c>
      <c r="BD70" s="41" t="s">
        <v>161</v>
      </c>
      <c r="BE70" s="41" t="s">
        <v>161</v>
      </c>
      <c r="BF70" s="41" t="s">
        <v>161</v>
      </c>
      <c r="BG70" s="41" t="s">
        <v>161</v>
      </c>
      <c r="BH70" s="41" t="s">
        <v>161</v>
      </c>
      <c r="BI70" s="41" t="s">
        <v>161</v>
      </c>
      <c r="BJ70" s="41" t="s">
        <v>161</v>
      </c>
      <c r="BK70" s="41" t="s">
        <v>161</v>
      </c>
      <c r="BL70" s="41" t="s">
        <v>161</v>
      </c>
      <c r="BM70" s="41" t="s">
        <v>161</v>
      </c>
      <c r="BN70" s="41" t="s">
        <v>161</v>
      </c>
      <c r="BO70" s="41" t="s">
        <v>161</v>
      </c>
      <c r="BP70" s="41" t="s">
        <v>161</v>
      </c>
      <c r="BQ70" s="41" t="s">
        <v>161</v>
      </c>
      <c r="BR70" s="41" t="s">
        <v>161</v>
      </c>
      <c r="BS70" s="41" t="s">
        <v>161</v>
      </c>
      <c r="BT70" s="41" t="s">
        <v>161</v>
      </c>
      <c r="BU70" s="41" t="s">
        <v>161</v>
      </c>
      <c r="BV70" s="41" t="s">
        <v>161</v>
      </c>
      <c r="BW70" s="41" t="s">
        <v>161</v>
      </c>
    </row>
    <row r="71" spans="1:75" s="17" customFormat="1" ht="47.25" x14ac:dyDescent="0.25">
      <c r="A71" s="42" t="s">
        <v>123</v>
      </c>
      <c r="B71" s="43" t="s">
        <v>124</v>
      </c>
      <c r="C71" s="41" t="s">
        <v>161</v>
      </c>
      <c r="D71" s="41" t="s">
        <v>161</v>
      </c>
      <c r="E71" s="41" t="s">
        <v>161</v>
      </c>
      <c r="F71" s="41" t="s">
        <v>161</v>
      </c>
      <c r="G71" s="41" t="s">
        <v>161</v>
      </c>
      <c r="H71" s="44">
        <v>0</v>
      </c>
      <c r="I71" s="44">
        <v>0</v>
      </c>
      <c r="J71" s="41" t="s">
        <v>161</v>
      </c>
      <c r="K71" s="44">
        <v>0</v>
      </c>
      <c r="L71" s="44">
        <v>0</v>
      </c>
      <c r="M71" s="41" t="s">
        <v>161</v>
      </c>
      <c r="N71" s="41" t="s">
        <v>161</v>
      </c>
      <c r="O71" s="41" t="s">
        <v>161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1" t="s">
        <v>161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f>AD72</f>
        <v>2.1906639999999999</v>
      </c>
      <c r="AE71" s="44">
        <v>0</v>
      </c>
      <c r="AF71" s="44">
        <v>0</v>
      </c>
      <c r="AG71" s="44">
        <f>AG72</f>
        <v>2.1906639999999999</v>
      </c>
      <c r="AH71" s="44">
        <v>0</v>
      </c>
      <c r="AI71" s="41" t="s">
        <v>161</v>
      </c>
      <c r="AJ71" s="41" t="s">
        <v>161</v>
      </c>
      <c r="AK71" s="41" t="s">
        <v>161</v>
      </c>
      <c r="AL71" s="41" t="s">
        <v>161</v>
      </c>
      <c r="AM71" s="41" t="s">
        <v>161</v>
      </c>
      <c r="AN71" s="41" t="s">
        <v>161</v>
      </c>
      <c r="AO71" s="41" t="s">
        <v>161</v>
      </c>
      <c r="AP71" s="41" t="s">
        <v>161</v>
      </c>
      <c r="AQ71" s="41" t="s">
        <v>161</v>
      </c>
      <c r="AR71" s="41" t="s">
        <v>161</v>
      </c>
      <c r="AS71" s="41" t="s">
        <v>161</v>
      </c>
      <c r="AT71" s="41" t="s">
        <v>161</v>
      </c>
      <c r="AU71" s="41" t="s">
        <v>161</v>
      </c>
      <c r="AV71" s="41" t="s">
        <v>161</v>
      </c>
      <c r="AW71" s="41" t="s">
        <v>161</v>
      </c>
      <c r="AX71" s="41" t="s">
        <v>161</v>
      </c>
      <c r="AY71" s="41" t="s">
        <v>161</v>
      </c>
      <c r="AZ71" s="41" t="s">
        <v>161</v>
      </c>
      <c r="BA71" s="41" t="s">
        <v>161</v>
      </c>
      <c r="BB71" s="41" t="s">
        <v>161</v>
      </c>
      <c r="BC71" s="41" t="s">
        <v>161</v>
      </c>
      <c r="BD71" s="41" t="s">
        <v>161</v>
      </c>
      <c r="BE71" s="41" t="s">
        <v>161</v>
      </c>
      <c r="BF71" s="41" t="s">
        <v>161</v>
      </c>
      <c r="BG71" s="41" t="s">
        <v>161</v>
      </c>
      <c r="BH71" s="41" t="s">
        <v>161</v>
      </c>
      <c r="BI71" s="41" t="s">
        <v>161</v>
      </c>
      <c r="BJ71" s="41" t="s">
        <v>161</v>
      </c>
      <c r="BK71" s="41" t="s">
        <v>161</v>
      </c>
      <c r="BL71" s="41" t="s">
        <v>161</v>
      </c>
      <c r="BM71" s="41" t="s">
        <v>161</v>
      </c>
      <c r="BN71" s="41" t="s">
        <v>161</v>
      </c>
      <c r="BO71" s="41" t="s">
        <v>161</v>
      </c>
      <c r="BP71" s="41" t="s">
        <v>161</v>
      </c>
      <c r="BQ71" s="41" t="s">
        <v>161</v>
      </c>
      <c r="BR71" s="41" t="s">
        <v>161</v>
      </c>
      <c r="BS71" s="41" t="s">
        <v>161</v>
      </c>
      <c r="BT71" s="41" t="s">
        <v>161</v>
      </c>
      <c r="BU71" s="41" t="s">
        <v>161</v>
      </c>
      <c r="BV71" s="41" t="s">
        <v>161</v>
      </c>
      <c r="BW71" s="41" t="s">
        <v>161</v>
      </c>
    </row>
    <row r="72" spans="1:75" s="17" customFormat="1" ht="47.25" x14ac:dyDescent="0.25">
      <c r="A72" s="45" t="s">
        <v>237</v>
      </c>
      <c r="B72" s="46" t="s">
        <v>238</v>
      </c>
      <c r="C72" s="57" t="s">
        <v>239</v>
      </c>
      <c r="D72" s="41" t="s">
        <v>166</v>
      </c>
      <c r="E72" s="41">
        <v>2019</v>
      </c>
      <c r="F72" s="41" t="s">
        <v>161</v>
      </c>
      <c r="G72" s="41">
        <v>2019</v>
      </c>
      <c r="H72" s="44">
        <v>0</v>
      </c>
      <c r="I72" s="44">
        <v>0</v>
      </c>
      <c r="J72" s="48" t="s">
        <v>161</v>
      </c>
      <c r="K72" s="55">
        <v>0.21471000000000001</v>
      </c>
      <c r="L72" s="55">
        <v>2.1906639999999999</v>
      </c>
      <c r="M72" s="48" t="s">
        <v>161</v>
      </c>
      <c r="N72" s="41" t="s">
        <v>161</v>
      </c>
      <c r="O72" s="26" t="s">
        <v>161</v>
      </c>
      <c r="P72" s="44">
        <v>0</v>
      </c>
      <c r="Q72" s="44">
        <v>0</v>
      </c>
      <c r="R72" s="44">
        <v>4.57976736</v>
      </c>
      <c r="S72" s="44">
        <v>4.57976736</v>
      </c>
      <c r="T72" s="44" t="s">
        <v>161</v>
      </c>
      <c r="U72" s="55">
        <v>2.1906639999999999</v>
      </c>
      <c r="V72" s="44">
        <v>0</v>
      </c>
      <c r="W72" s="41"/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f>U72</f>
        <v>2.1906639999999999</v>
      </c>
      <c r="AE72" s="44">
        <v>0</v>
      </c>
      <c r="AF72" s="44">
        <v>0</v>
      </c>
      <c r="AG72" s="44">
        <f>AD72</f>
        <v>2.1906639999999999</v>
      </c>
      <c r="AH72" s="44">
        <v>0</v>
      </c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9" t="s">
        <v>246</v>
      </c>
    </row>
    <row r="73" spans="1:75" s="17" customFormat="1" ht="47.25" hidden="1" x14ac:dyDescent="0.25">
      <c r="A73" s="42" t="s">
        <v>125</v>
      </c>
      <c r="B73" s="43" t="s">
        <v>126</v>
      </c>
      <c r="C73" s="41" t="s">
        <v>161</v>
      </c>
      <c r="D73" s="41" t="s">
        <v>161</v>
      </c>
      <c r="E73" s="41" t="s">
        <v>161</v>
      </c>
      <c r="F73" s="41" t="s">
        <v>161</v>
      </c>
      <c r="G73" s="41" t="s">
        <v>161</v>
      </c>
      <c r="H73" s="44">
        <v>0</v>
      </c>
      <c r="I73" s="44">
        <v>0</v>
      </c>
      <c r="J73" s="41" t="s">
        <v>161</v>
      </c>
      <c r="K73" s="44">
        <v>0</v>
      </c>
      <c r="L73" s="44">
        <v>0</v>
      </c>
      <c r="M73" s="41" t="s">
        <v>161</v>
      </c>
      <c r="N73" s="41" t="s">
        <v>161</v>
      </c>
      <c r="O73" s="41" t="s">
        <v>161</v>
      </c>
      <c r="P73" s="44">
        <v>0</v>
      </c>
      <c r="Q73" s="44"/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1" t="s">
        <v>161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1" t="s">
        <v>161</v>
      </c>
      <c r="AJ73" s="41" t="s">
        <v>161</v>
      </c>
      <c r="AK73" s="41" t="s">
        <v>161</v>
      </c>
      <c r="AL73" s="41" t="s">
        <v>161</v>
      </c>
      <c r="AM73" s="41" t="s">
        <v>161</v>
      </c>
      <c r="AN73" s="41" t="s">
        <v>161</v>
      </c>
      <c r="AO73" s="41" t="s">
        <v>161</v>
      </c>
      <c r="AP73" s="41" t="s">
        <v>161</v>
      </c>
      <c r="AQ73" s="41" t="s">
        <v>161</v>
      </c>
      <c r="AR73" s="41" t="s">
        <v>161</v>
      </c>
      <c r="AS73" s="41" t="s">
        <v>161</v>
      </c>
      <c r="AT73" s="41" t="s">
        <v>161</v>
      </c>
      <c r="AU73" s="41" t="s">
        <v>161</v>
      </c>
      <c r="AV73" s="41" t="s">
        <v>161</v>
      </c>
      <c r="AW73" s="41" t="s">
        <v>161</v>
      </c>
      <c r="AX73" s="41" t="s">
        <v>161</v>
      </c>
      <c r="AY73" s="41" t="s">
        <v>161</v>
      </c>
      <c r="AZ73" s="41" t="s">
        <v>161</v>
      </c>
      <c r="BA73" s="41" t="s">
        <v>161</v>
      </c>
      <c r="BB73" s="41" t="s">
        <v>161</v>
      </c>
      <c r="BC73" s="41" t="s">
        <v>161</v>
      </c>
      <c r="BD73" s="41" t="s">
        <v>161</v>
      </c>
      <c r="BE73" s="41" t="s">
        <v>161</v>
      </c>
      <c r="BF73" s="41" t="s">
        <v>161</v>
      </c>
      <c r="BG73" s="41" t="s">
        <v>161</v>
      </c>
      <c r="BH73" s="41" t="s">
        <v>161</v>
      </c>
      <c r="BI73" s="41" t="s">
        <v>161</v>
      </c>
      <c r="BJ73" s="41" t="s">
        <v>161</v>
      </c>
      <c r="BK73" s="41" t="s">
        <v>161</v>
      </c>
      <c r="BL73" s="41" t="s">
        <v>161</v>
      </c>
      <c r="BM73" s="41" t="s">
        <v>161</v>
      </c>
      <c r="BN73" s="41" t="s">
        <v>161</v>
      </c>
      <c r="BO73" s="41" t="s">
        <v>161</v>
      </c>
      <c r="BP73" s="41" t="s">
        <v>161</v>
      </c>
      <c r="BQ73" s="41" t="s">
        <v>161</v>
      </c>
      <c r="BR73" s="41" t="s">
        <v>161</v>
      </c>
      <c r="BS73" s="41" t="s">
        <v>161</v>
      </c>
      <c r="BT73" s="41" t="s">
        <v>161</v>
      </c>
      <c r="BU73" s="41" t="s">
        <v>161</v>
      </c>
      <c r="BV73" s="41" t="s">
        <v>161</v>
      </c>
      <c r="BW73" s="41" t="s">
        <v>161</v>
      </c>
    </row>
    <row r="74" spans="1:75" s="17" customFormat="1" ht="47.25" hidden="1" x14ac:dyDescent="0.25">
      <c r="A74" s="42" t="s">
        <v>127</v>
      </c>
      <c r="B74" s="43" t="s">
        <v>128</v>
      </c>
      <c r="C74" s="41" t="s">
        <v>161</v>
      </c>
      <c r="D74" s="41" t="s">
        <v>161</v>
      </c>
      <c r="E74" s="41" t="s">
        <v>161</v>
      </c>
      <c r="F74" s="41" t="s">
        <v>161</v>
      </c>
      <c r="G74" s="41" t="s">
        <v>161</v>
      </c>
      <c r="H74" s="44">
        <v>0</v>
      </c>
      <c r="I74" s="44">
        <v>0</v>
      </c>
      <c r="J74" s="41" t="s">
        <v>161</v>
      </c>
      <c r="K74" s="44">
        <v>0</v>
      </c>
      <c r="L74" s="44">
        <v>0</v>
      </c>
      <c r="M74" s="41" t="s">
        <v>161</v>
      </c>
      <c r="N74" s="41" t="s">
        <v>161</v>
      </c>
      <c r="O74" s="41" t="s">
        <v>161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1" t="s">
        <v>161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1" t="s">
        <v>161</v>
      </c>
      <c r="AJ74" s="41" t="s">
        <v>161</v>
      </c>
      <c r="AK74" s="41" t="s">
        <v>161</v>
      </c>
      <c r="AL74" s="41" t="s">
        <v>161</v>
      </c>
      <c r="AM74" s="41" t="s">
        <v>161</v>
      </c>
      <c r="AN74" s="41" t="s">
        <v>161</v>
      </c>
      <c r="AO74" s="41" t="s">
        <v>161</v>
      </c>
      <c r="AP74" s="41" t="s">
        <v>161</v>
      </c>
      <c r="AQ74" s="41" t="s">
        <v>161</v>
      </c>
      <c r="AR74" s="41" t="s">
        <v>161</v>
      </c>
      <c r="AS74" s="41" t="s">
        <v>161</v>
      </c>
      <c r="AT74" s="41" t="s">
        <v>161</v>
      </c>
      <c r="AU74" s="41" t="s">
        <v>161</v>
      </c>
      <c r="AV74" s="41" t="s">
        <v>161</v>
      </c>
      <c r="AW74" s="41" t="s">
        <v>161</v>
      </c>
      <c r="AX74" s="41" t="s">
        <v>161</v>
      </c>
      <c r="AY74" s="41" t="s">
        <v>161</v>
      </c>
      <c r="AZ74" s="41" t="s">
        <v>161</v>
      </c>
      <c r="BA74" s="41" t="s">
        <v>161</v>
      </c>
      <c r="BB74" s="41" t="s">
        <v>161</v>
      </c>
      <c r="BC74" s="41" t="s">
        <v>161</v>
      </c>
      <c r="BD74" s="41" t="s">
        <v>161</v>
      </c>
      <c r="BE74" s="41" t="s">
        <v>161</v>
      </c>
      <c r="BF74" s="41" t="s">
        <v>161</v>
      </c>
      <c r="BG74" s="41" t="s">
        <v>161</v>
      </c>
      <c r="BH74" s="41" t="s">
        <v>161</v>
      </c>
      <c r="BI74" s="41" t="s">
        <v>161</v>
      </c>
      <c r="BJ74" s="41" t="s">
        <v>161</v>
      </c>
      <c r="BK74" s="41" t="s">
        <v>161</v>
      </c>
      <c r="BL74" s="41" t="s">
        <v>161</v>
      </c>
      <c r="BM74" s="41" t="s">
        <v>161</v>
      </c>
      <c r="BN74" s="41" t="s">
        <v>161</v>
      </c>
      <c r="BO74" s="41" t="s">
        <v>161</v>
      </c>
      <c r="BP74" s="41" t="s">
        <v>161</v>
      </c>
      <c r="BQ74" s="41" t="s">
        <v>161</v>
      </c>
      <c r="BR74" s="41" t="s">
        <v>161</v>
      </c>
      <c r="BS74" s="41" t="s">
        <v>161</v>
      </c>
      <c r="BT74" s="41" t="s">
        <v>161</v>
      </c>
      <c r="BU74" s="41" t="s">
        <v>161</v>
      </c>
      <c r="BV74" s="41" t="s">
        <v>161</v>
      </c>
      <c r="BW74" s="41" t="s">
        <v>161</v>
      </c>
    </row>
    <row r="75" spans="1:75" s="17" customFormat="1" ht="31.5" hidden="1" x14ac:dyDescent="0.25">
      <c r="A75" s="42" t="s">
        <v>129</v>
      </c>
      <c r="B75" s="43" t="s">
        <v>130</v>
      </c>
      <c r="C75" s="41" t="s">
        <v>161</v>
      </c>
      <c r="D75" s="41" t="s">
        <v>161</v>
      </c>
      <c r="E75" s="41" t="s">
        <v>161</v>
      </c>
      <c r="F75" s="41" t="s">
        <v>161</v>
      </c>
      <c r="G75" s="41" t="s">
        <v>161</v>
      </c>
      <c r="H75" s="44">
        <v>0</v>
      </c>
      <c r="I75" s="44">
        <v>0</v>
      </c>
      <c r="J75" s="41" t="s">
        <v>161</v>
      </c>
      <c r="K75" s="44">
        <v>0</v>
      </c>
      <c r="L75" s="44">
        <v>0</v>
      </c>
      <c r="M75" s="41" t="s">
        <v>161</v>
      </c>
      <c r="N75" s="41" t="s">
        <v>161</v>
      </c>
      <c r="O75" s="41" t="s">
        <v>161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1" t="s">
        <v>161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1" t="s">
        <v>161</v>
      </c>
      <c r="AJ75" s="41" t="s">
        <v>161</v>
      </c>
      <c r="AK75" s="41" t="s">
        <v>161</v>
      </c>
      <c r="AL75" s="41" t="s">
        <v>161</v>
      </c>
      <c r="AM75" s="41" t="s">
        <v>161</v>
      </c>
      <c r="AN75" s="41" t="s">
        <v>161</v>
      </c>
      <c r="AO75" s="41" t="s">
        <v>161</v>
      </c>
      <c r="AP75" s="41" t="s">
        <v>161</v>
      </c>
      <c r="AQ75" s="41" t="s">
        <v>161</v>
      </c>
      <c r="AR75" s="41" t="s">
        <v>161</v>
      </c>
      <c r="AS75" s="41" t="s">
        <v>161</v>
      </c>
      <c r="AT75" s="41" t="s">
        <v>161</v>
      </c>
      <c r="AU75" s="41" t="s">
        <v>161</v>
      </c>
      <c r="AV75" s="41" t="s">
        <v>161</v>
      </c>
      <c r="AW75" s="41" t="s">
        <v>161</v>
      </c>
      <c r="AX75" s="41" t="s">
        <v>161</v>
      </c>
      <c r="AY75" s="41" t="s">
        <v>161</v>
      </c>
      <c r="AZ75" s="41" t="s">
        <v>161</v>
      </c>
      <c r="BA75" s="41" t="s">
        <v>161</v>
      </c>
      <c r="BB75" s="41" t="s">
        <v>161</v>
      </c>
      <c r="BC75" s="41" t="s">
        <v>161</v>
      </c>
      <c r="BD75" s="41" t="s">
        <v>161</v>
      </c>
      <c r="BE75" s="41" t="s">
        <v>161</v>
      </c>
      <c r="BF75" s="41" t="s">
        <v>161</v>
      </c>
      <c r="BG75" s="41" t="s">
        <v>161</v>
      </c>
      <c r="BH75" s="41" t="s">
        <v>161</v>
      </c>
      <c r="BI75" s="41" t="s">
        <v>161</v>
      </c>
      <c r="BJ75" s="41" t="s">
        <v>161</v>
      </c>
      <c r="BK75" s="41" t="s">
        <v>161</v>
      </c>
      <c r="BL75" s="41" t="s">
        <v>161</v>
      </c>
      <c r="BM75" s="41" t="s">
        <v>161</v>
      </c>
      <c r="BN75" s="41" t="s">
        <v>161</v>
      </c>
      <c r="BO75" s="41" t="s">
        <v>161</v>
      </c>
      <c r="BP75" s="41" t="s">
        <v>161</v>
      </c>
      <c r="BQ75" s="41" t="s">
        <v>161</v>
      </c>
      <c r="BR75" s="41" t="s">
        <v>161</v>
      </c>
      <c r="BS75" s="41" t="s">
        <v>161</v>
      </c>
      <c r="BT75" s="41" t="s">
        <v>161</v>
      </c>
      <c r="BU75" s="41" t="s">
        <v>161</v>
      </c>
      <c r="BV75" s="41" t="s">
        <v>161</v>
      </c>
      <c r="BW75" s="41" t="s">
        <v>161</v>
      </c>
    </row>
    <row r="76" spans="1:75" s="17" customFormat="1" ht="31.5" hidden="1" x14ac:dyDescent="0.25">
      <c r="A76" s="42" t="s">
        <v>131</v>
      </c>
      <c r="B76" s="43" t="s">
        <v>132</v>
      </c>
      <c r="C76" s="41" t="s">
        <v>161</v>
      </c>
      <c r="D76" s="41" t="s">
        <v>161</v>
      </c>
      <c r="E76" s="41" t="s">
        <v>161</v>
      </c>
      <c r="F76" s="41" t="s">
        <v>161</v>
      </c>
      <c r="G76" s="41" t="s">
        <v>161</v>
      </c>
      <c r="H76" s="44">
        <v>0</v>
      </c>
      <c r="I76" s="44">
        <v>0</v>
      </c>
      <c r="J76" s="41" t="s">
        <v>161</v>
      </c>
      <c r="K76" s="44">
        <v>0</v>
      </c>
      <c r="L76" s="44">
        <v>0</v>
      </c>
      <c r="M76" s="41" t="s">
        <v>161</v>
      </c>
      <c r="N76" s="41" t="s">
        <v>161</v>
      </c>
      <c r="O76" s="41" t="s">
        <v>161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1" t="s">
        <v>161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1" t="s">
        <v>161</v>
      </c>
      <c r="AJ76" s="41" t="s">
        <v>161</v>
      </c>
      <c r="AK76" s="41" t="s">
        <v>161</v>
      </c>
      <c r="AL76" s="41" t="s">
        <v>161</v>
      </c>
      <c r="AM76" s="41" t="s">
        <v>161</v>
      </c>
      <c r="AN76" s="41" t="s">
        <v>161</v>
      </c>
      <c r="AO76" s="41" t="s">
        <v>161</v>
      </c>
      <c r="AP76" s="41" t="s">
        <v>161</v>
      </c>
      <c r="AQ76" s="41" t="s">
        <v>161</v>
      </c>
      <c r="AR76" s="41" t="s">
        <v>161</v>
      </c>
      <c r="AS76" s="41" t="s">
        <v>161</v>
      </c>
      <c r="AT76" s="41" t="s">
        <v>161</v>
      </c>
      <c r="AU76" s="41" t="s">
        <v>161</v>
      </c>
      <c r="AV76" s="41" t="s">
        <v>161</v>
      </c>
      <c r="AW76" s="41" t="s">
        <v>161</v>
      </c>
      <c r="AX76" s="41" t="s">
        <v>161</v>
      </c>
      <c r="AY76" s="41" t="s">
        <v>161</v>
      </c>
      <c r="AZ76" s="41" t="s">
        <v>161</v>
      </c>
      <c r="BA76" s="41" t="s">
        <v>161</v>
      </c>
      <c r="BB76" s="41" t="s">
        <v>161</v>
      </c>
      <c r="BC76" s="41" t="s">
        <v>161</v>
      </c>
      <c r="BD76" s="41" t="s">
        <v>161</v>
      </c>
      <c r="BE76" s="41" t="s">
        <v>161</v>
      </c>
      <c r="BF76" s="41" t="s">
        <v>161</v>
      </c>
      <c r="BG76" s="41" t="s">
        <v>161</v>
      </c>
      <c r="BH76" s="41" t="s">
        <v>161</v>
      </c>
      <c r="BI76" s="41" t="s">
        <v>161</v>
      </c>
      <c r="BJ76" s="41" t="s">
        <v>161</v>
      </c>
      <c r="BK76" s="41" t="s">
        <v>161</v>
      </c>
      <c r="BL76" s="41" t="s">
        <v>161</v>
      </c>
      <c r="BM76" s="41" t="s">
        <v>161</v>
      </c>
      <c r="BN76" s="41" t="s">
        <v>161</v>
      </c>
      <c r="BO76" s="41" t="s">
        <v>161</v>
      </c>
      <c r="BP76" s="41" t="s">
        <v>161</v>
      </c>
      <c r="BQ76" s="41" t="s">
        <v>161</v>
      </c>
      <c r="BR76" s="41" t="s">
        <v>161</v>
      </c>
      <c r="BS76" s="41" t="s">
        <v>161</v>
      </c>
      <c r="BT76" s="41" t="s">
        <v>161</v>
      </c>
      <c r="BU76" s="41" t="s">
        <v>161</v>
      </c>
      <c r="BV76" s="41" t="s">
        <v>161</v>
      </c>
      <c r="BW76" s="41" t="s">
        <v>161</v>
      </c>
    </row>
    <row r="77" spans="1:75" s="17" customFormat="1" ht="47.25" hidden="1" x14ac:dyDescent="0.25">
      <c r="A77" s="42" t="s">
        <v>133</v>
      </c>
      <c r="B77" s="43" t="s">
        <v>134</v>
      </c>
      <c r="C77" s="41" t="s">
        <v>161</v>
      </c>
      <c r="D77" s="41" t="s">
        <v>161</v>
      </c>
      <c r="E77" s="41" t="s">
        <v>161</v>
      </c>
      <c r="F77" s="41" t="s">
        <v>161</v>
      </c>
      <c r="G77" s="41" t="s">
        <v>161</v>
      </c>
      <c r="H77" s="44">
        <v>0</v>
      </c>
      <c r="I77" s="44">
        <v>0</v>
      </c>
      <c r="J77" s="41" t="s">
        <v>161</v>
      </c>
      <c r="K77" s="44">
        <v>0</v>
      </c>
      <c r="L77" s="44">
        <v>0</v>
      </c>
      <c r="M77" s="41" t="s">
        <v>161</v>
      </c>
      <c r="N77" s="41" t="s">
        <v>161</v>
      </c>
      <c r="O77" s="41" t="s">
        <v>161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1" t="s">
        <v>161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1" t="s">
        <v>161</v>
      </c>
      <c r="AJ77" s="41" t="s">
        <v>161</v>
      </c>
      <c r="AK77" s="41" t="s">
        <v>161</v>
      </c>
      <c r="AL77" s="41" t="s">
        <v>161</v>
      </c>
      <c r="AM77" s="41" t="s">
        <v>161</v>
      </c>
      <c r="AN77" s="41" t="s">
        <v>161</v>
      </c>
      <c r="AO77" s="41" t="s">
        <v>161</v>
      </c>
      <c r="AP77" s="41" t="s">
        <v>161</v>
      </c>
      <c r="AQ77" s="41" t="s">
        <v>161</v>
      </c>
      <c r="AR77" s="41" t="s">
        <v>161</v>
      </c>
      <c r="AS77" s="41" t="s">
        <v>161</v>
      </c>
      <c r="AT77" s="41" t="s">
        <v>161</v>
      </c>
      <c r="AU77" s="41" t="s">
        <v>161</v>
      </c>
      <c r="AV77" s="41" t="s">
        <v>161</v>
      </c>
      <c r="AW77" s="41" t="s">
        <v>161</v>
      </c>
      <c r="AX77" s="41" t="s">
        <v>161</v>
      </c>
      <c r="AY77" s="41" t="s">
        <v>161</v>
      </c>
      <c r="AZ77" s="41" t="s">
        <v>161</v>
      </c>
      <c r="BA77" s="41" t="s">
        <v>161</v>
      </c>
      <c r="BB77" s="41" t="s">
        <v>161</v>
      </c>
      <c r="BC77" s="41" t="s">
        <v>161</v>
      </c>
      <c r="BD77" s="41" t="s">
        <v>161</v>
      </c>
      <c r="BE77" s="41" t="s">
        <v>161</v>
      </c>
      <c r="BF77" s="41" t="s">
        <v>161</v>
      </c>
      <c r="BG77" s="41" t="s">
        <v>161</v>
      </c>
      <c r="BH77" s="41" t="s">
        <v>161</v>
      </c>
      <c r="BI77" s="41" t="s">
        <v>161</v>
      </c>
      <c r="BJ77" s="41" t="s">
        <v>161</v>
      </c>
      <c r="BK77" s="41" t="s">
        <v>161</v>
      </c>
      <c r="BL77" s="41" t="s">
        <v>161</v>
      </c>
      <c r="BM77" s="41" t="s">
        <v>161</v>
      </c>
      <c r="BN77" s="41" t="s">
        <v>161</v>
      </c>
      <c r="BO77" s="41" t="s">
        <v>161</v>
      </c>
      <c r="BP77" s="41" t="s">
        <v>161</v>
      </c>
      <c r="BQ77" s="41" t="s">
        <v>161</v>
      </c>
      <c r="BR77" s="41" t="s">
        <v>161</v>
      </c>
      <c r="BS77" s="41" t="s">
        <v>161</v>
      </c>
      <c r="BT77" s="41" t="s">
        <v>161</v>
      </c>
      <c r="BU77" s="41" t="s">
        <v>161</v>
      </c>
      <c r="BV77" s="41" t="s">
        <v>161</v>
      </c>
      <c r="BW77" s="41" t="s">
        <v>161</v>
      </c>
    </row>
    <row r="78" spans="1:75" s="17" customFormat="1" ht="63" hidden="1" x14ac:dyDescent="0.25">
      <c r="A78" s="42" t="s">
        <v>135</v>
      </c>
      <c r="B78" s="43" t="s">
        <v>136</v>
      </c>
      <c r="C78" s="41" t="s">
        <v>161</v>
      </c>
      <c r="D78" s="41" t="s">
        <v>161</v>
      </c>
      <c r="E78" s="41" t="s">
        <v>161</v>
      </c>
      <c r="F78" s="41" t="s">
        <v>161</v>
      </c>
      <c r="G78" s="41" t="s">
        <v>161</v>
      </c>
      <c r="H78" s="44">
        <v>0</v>
      </c>
      <c r="I78" s="44">
        <v>0</v>
      </c>
      <c r="J78" s="41" t="s">
        <v>161</v>
      </c>
      <c r="K78" s="44">
        <v>0</v>
      </c>
      <c r="L78" s="44">
        <v>0</v>
      </c>
      <c r="M78" s="41" t="s">
        <v>161</v>
      </c>
      <c r="N78" s="41" t="s">
        <v>161</v>
      </c>
      <c r="O78" s="41" t="s">
        <v>161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1" t="s">
        <v>161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1" t="s">
        <v>161</v>
      </c>
      <c r="AJ78" s="41" t="s">
        <v>161</v>
      </c>
      <c r="AK78" s="41" t="s">
        <v>161</v>
      </c>
      <c r="AL78" s="41" t="s">
        <v>161</v>
      </c>
      <c r="AM78" s="41" t="s">
        <v>161</v>
      </c>
      <c r="AN78" s="41" t="s">
        <v>161</v>
      </c>
      <c r="AO78" s="41" t="s">
        <v>161</v>
      </c>
      <c r="AP78" s="41" t="s">
        <v>161</v>
      </c>
      <c r="AQ78" s="41" t="s">
        <v>161</v>
      </c>
      <c r="AR78" s="41" t="s">
        <v>161</v>
      </c>
      <c r="AS78" s="41" t="s">
        <v>161</v>
      </c>
      <c r="AT78" s="41" t="s">
        <v>161</v>
      </c>
      <c r="AU78" s="41" t="s">
        <v>161</v>
      </c>
      <c r="AV78" s="41" t="s">
        <v>161</v>
      </c>
      <c r="AW78" s="41" t="s">
        <v>161</v>
      </c>
      <c r="AX78" s="41" t="s">
        <v>161</v>
      </c>
      <c r="AY78" s="41" t="s">
        <v>161</v>
      </c>
      <c r="AZ78" s="41" t="s">
        <v>161</v>
      </c>
      <c r="BA78" s="41" t="s">
        <v>161</v>
      </c>
      <c r="BB78" s="41" t="s">
        <v>161</v>
      </c>
      <c r="BC78" s="41" t="s">
        <v>161</v>
      </c>
      <c r="BD78" s="41" t="s">
        <v>161</v>
      </c>
      <c r="BE78" s="41" t="s">
        <v>161</v>
      </c>
      <c r="BF78" s="41" t="s">
        <v>161</v>
      </c>
      <c r="BG78" s="41" t="s">
        <v>161</v>
      </c>
      <c r="BH78" s="41" t="s">
        <v>161</v>
      </c>
      <c r="BI78" s="41" t="s">
        <v>161</v>
      </c>
      <c r="BJ78" s="41" t="s">
        <v>161</v>
      </c>
      <c r="BK78" s="41" t="s">
        <v>161</v>
      </c>
      <c r="BL78" s="41" t="s">
        <v>161</v>
      </c>
      <c r="BM78" s="41" t="s">
        <v>161</v>
      </c>
      <c r="BN78" s="41" t="s">
        <v>161</v>
      </c>
      <c r="BO78" s="41" t="s">
        <v>161</v>
      </c>
      <c r="BP78" s="41" t="s">
        <v>161</v>
      </c>
      <c r="BQ78" s="41" t="s">
        <v>161</v>
      </c>
      <c r="BR78" s="41" t="s">
        <v>161</v>
      </c>
      <c r="BS78" s="41" t="s">
        <v>161</v>
      </c>
      <c r="BT78" s="41" t="s">
        <v>161</v>
      </c>
      <c r="BU78" s="41" t="s">
        <v>161</v>
      </c>
      <c r="BV78" s="41" t="s">
        <v>161</v>
      </c>
      <c r="BW78" s="41" t="s">
        <v>161</v>
      </c>
    </row>
    <row r="79" spans="1:75" s="17" customFormat="1" ht="47.25" hidden="1" x14ac:dyDescent="0.25">
      <c r="A79" s="42" t="s">
        <v>137</v>
      </c>
      <c r="B79" s="43" t="s">
        <v>138</v>
      </c>
      <c r="C79" s="41" t="s">
        <v>161</v>
      </c>
      <c r="D79" s="41" t="s">
        <v>161</v>
      </c>
      <c r="E79" s="41" t="s">
        <v>161</v>
      </c>
      <c r="F79" s="41" t="s">
        <v>161</v>
      </c>
      <c r="G79" s="41" t="s">
        <v>161</v>
      </c>
      <c r="H79" s="44">
        <v>0</v>
      </c>
      <c r="I79" s="44">
        <v>0</v>
      </c>
      <c r="J79" s="41" t="s">
        <v>161</v>
      </c>
      <c r="K79" s="44">
        <v>0</v>
      </c>
      <c r="L79" s="44">
        <v>0</v>
      </c>
      <c r="M79" s="41" t="s">
        <v>161</v>
      </c>
      <c r="N79" s="41" t="s">
        <v>161</v>
      </c>
      <c r="O79" s="41" t="s">
        <v>161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1" t="s">
        <v>161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1" t="s">
        <v>161</v>
      </c>
      <c r="AJ79" s="41" t="s">
        <v>161</v>
      </c>
      <c r="AK79" s="41" t="s">
        <v>161</v>
      </c>
      <c r="AL79" s="41" t="s">
        <v>161</v>
      </c>
      <c r="AM79" s="41" t="s">
        <v>161</v>
      </c>
      <c r="AN79" s="41" t="s">
        <v>161</v>
      </c>
      <c r="AO79" s="41" t="s">
        <v>161</v>
      </c>
      <c r="AP79" s="41" t="s">
        <v>161</v>
      </c>
      <c r="AQ79" s="41" t="s">
        <v>161</v>
      </c>
      <c r="AR79" s="41" t="s">
        <v>161</v>
      </c>
      <c r="AS79" s="41" t="s">
        <v>161</v>
      </c>
      <c r="AT79" s="41" t="s">
        <v>161</v>
      </c>
      <c r="AU79" s="41" t="s">
        <v>161</v>
      </c>
      <c r="AV79" s="41" t="s">
        <v>161</v>
      </c>
      <c r="AW79" s="41" t="s">
        <v>161</v>
      </c>
      <c r="AX79" s="41" t="s">
        <v>161</v>
      </c>
      <c r="AY79" s="41" t="s">
        <v>161</v>
      </c>
      <c r="AZ79" s="41" t="s">
        <v>161</v>
      </c>
      <c r="BA79" s="41" t="s">
        <v>161</v>
      </c>
      <c r="BB79" s="41" t="s">
        <v>161</v>
      </c>
      <c r="BC79" s="41" t="s">
        <v>161</v>
      </c>
      <c r="BD79" s="41" t="s">
        <v>161</v>
      </c>
      <c r="BE79" s="41" t="s">
        <v>161</v>
      </c>
      <c r="BF79" s="41" t="s">
        <v>161</v>
      </c>
      <c r="BG79" s="41" t="s">
        <v>161</v>
      </c>
      <c r="BH79" s="41" t="s">
        <v>161</v>
      </c>
      <c r="BI79" s="41" t="s">
        <v>161</v>
      </c>
      <c r="BJ79" s="41" t="s">
        <v>161</v>
      </c>
      <c r="BK79" s="41" t="s">
        <v>161</v>
      </c>
      <c r="BL79" s="41" t="s">
        <v>161</v>
      </c>
      <c r="BM79" s="41" t="s">
        <v>161</v>
      </c>
      <c r="BN79" s="41" t="s">
        <v>161</v>
      </c>
      <c r="BO79" s="41" t="s">
        <v>161</v>
      </c>
      <c r="BP79" s="41" t="s">
        <v>161</v>
      </c>
      <c r="BQ79" s="41" t="s">
        <v>161</v>
      </c>
      <c r="BR79" s="41" t="s">
        <v>161</v>
      </c>
      <c r="BS79" s="41" t="s">
        <v>161</v>
      </c>
      <c r="BT79" s="41" t="s">
        <v>161</v>
      </c>
      <c r="BU79" s="41" t="s">
        <v>161</v>
      </c>
      <c r="BV79" s="41" t="s">
        <v>161</v>
      </c>
      <c r="BW79" s="41" t="s">
        <v>161</v>
      </c>
    </row>
    <row r="80" spans="1:75" s="17" customFormat="1" ht="47.25" hidden="1" x14ac:dyDescent="0.25">
      <c r="A80" s="42" t="s">
        <v>139</v>
      </c>
      <c r="B80" s="43" t="s">
        <v>140</v>
      </c>
      <c r="C80" s="41" t="s">
        <v>161</v>
      </c>
      <c r="D80" s="41" t="s">
        <v>161</v>
      </c>
      <c r="E80" s="41" t="s">
        <v>161</v>
      </c>
      <c r="F80" s="41" t="s">
        <v>161</v>
      </c>
      <c r="G80" s="41" t="s">
        <v>161</v>
      </c>
      <c r="H80" s="44">
        <v>0</v>
      </c>
      <c r="I80" s="44">
        <v>0</v>
      </c>
      <c r="J80" s="41" t="s">
        <v>161</v>
      </c>
      <c r="K80" s="44">
        <v>0</v>
      </c>
      <c r="L80" s="44">
        <v>0</v>
      </c>
      <c r="M80" s="41" t="s">
        <v>161</v>
      </c>
      <c r="N80" s="41" t="s">
        <v>161</v>
      </c>
      <c r="O80" s="41" t="s">
        <v>161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1" t="s">
        <v>161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1" t="s">
        <v>161</v>
      </c>
      <c r="AJ80" s="41" t="s">
        <v>161</v>
      </c>
      <c r="AK80" s="41" t="s">
        <v>161</v>
      </c>
      <c r="AL80" s="41" t="s">
        <v>161</v>
      </c>
      <c r="AM80" s="41" t="s">
        <v>161</v>
      </c>
      <c r="AN80" s="41" t="s">
        <v>161</v>
      </c>
      <c r="AO80" s="41" t="s">
        <v>161</v>
      </c>
      <c r="AP80" s="41" t="s">
        <v>161</v>
      </c>
      <c r="AQ80" s="41" t="s">
        <v>161</v>
      </c>
      <c r="AR80" s="41" t="s">
        <v>161</v>
      </c>
      <c r="AS80" s="41" t="s">
        <v>161</v>
      </c>
      <c r="AT80" s="41" t="s">
        <v>161</v>
      </c>
      <c r="AU80" s="41" t="s">
        <v>161</v>
      </c>
      <c r="AV80" s="41" t="s">
        <v>161</v>
      </c>
      <c r="AW80" s="41" t="s">
        <v>161</v>
      </c>
      <c r="AX80" s="41" t="s">
        <v>161</v>
      </c>
      <c r="AY80" s="41" t="s">
        <v>161</v>
      </c>
      <c r="AZ80" s="41" t="s">
        <v>161</v>
      </c>
      <c r="BA80" s="41" t="s">
        <v>161</v>
      </c>
      <c r="BB80" s="41" t="s">
        <v>161</v>
      </c>
      <c r="BC80" s="41" t="s">
        <v>161</v>
      </c>
      <c r="BD80" s="41" t="s">
        <v>161</v>
      </c>
      <c r="BE80" s="41" t="s">
        <v>161</v>
      </c>
      <c r="BF80" s="41" t="s">
        <v>161</v>
      </c>
      <c r="BG80" s="41" t="s">
        <v>161</v>
      </c>
      <c r="BH80" s="41" t="s">
        <v>161</v>
      </c>
      <c r="BI80" s="41" t="s">
        <v>161</v>
      </c>
      <c r="BJ80" s="41" t="s">
        <v>161</v>
      </c>
      <c r="BK80" s="41" t="s">
        <v>161</v>
      </c>
      <c r="BL80" s="41" t="s">
        <v>161</v>
      </c>
      <c r="BM80" s="41" t="s">
        <v>161</v>
      </c>
      <c r="BN80" s="41" t="s">
        <v>161</v>
      </c>
      <c r="BO80" s="41" t="s">
        <v>161</v>
      </c>
      <c r="BP80" s="41" t="s">
        <v>161</v>
      </c>
      <c r="BQ80" s="41" t="s">
        <v>161</v>
      </c>
      <c r="BR80" s="41" t="s">
        <v>161</v>
      </c>
      <c r="BS80" s="41" t="s">
        <v>161</v>
      </c>
      <c r="BT80" s="41" t="s">
        <v>161</v>
      </c>
      <c r="BU80" s="41" t="s">
        <v>161</v>
      </c>
      <c r="BV80" s="41" t="s">
        <v>161</v>
      </c>
      <c r="BW80" s="41" t="s">
        <v>161</v>
      </c>
    </row>
    <row r="81" spans="1:75" s="17" customFormat="1" ht="63" hidden="1" x14ac:dyDescent="0.25">
      <c r="A81" s="42" t="s">
        <v>141</v>
      </c>
      <c r="B81" s="43" t="s">
        <v>142</v>
      </c>
      <c r="C81" s="41" t="s">
        <v>161</v>
      </c>
      <c r="D81" s="41" t="s">
        <v>161</v>
      </c>
      <c r="E81" s="41" t="s">
        <v>161</v>
      </c>
      <c r="F81" s="41" t="s">
        <v>161</v>
      </c>
      <c r="G81" s="41" t="s">
        <v>161</v>
      </c>
      <c r="H81" s="44">
        <v>0</v>
      </c>
      <c r="I81" s="44">
        <v>0</v>
      </c>
      <c r="J81" s="41" t="s">
        <v>161</v>
      </c>
      <c r="K81" s="44">
        <v>0</v>
      </c>
      <c r="L81" s="44">
        <v>0</v>
      </c>
      <c r="M81" s="41" t="s">
        <v>161</v>
      </c>
      <c r="N81" s="41" t="s">
        <v>161</v>
      </c>
      <c r="O81" s="41" t="s">
        <v>161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1" t="s">
        <v>161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1" t="s">
        <v>161</v>
      </c>
      <c r="AJ81" s="41" t="s">
        <v>161</v>
      </c>
      <c r="AK81" s="41" t="s">
        <v>161</v>
      </c>
      <c r="AL81" s="41" t="s">
        <v>161</v>
      </c>
      <c r="AM81" s="41" t="s">
        <v>161</v>
      </c>
      <c r="AN81" s="41" t="s">
        <v>161</v>
      </c>
      <c r="AO81" s="41" t="s">
        <v>161</v>
      </c>
      <c r="AP81" s="41" t="s">
        <v>161</v>
      </c>
      <c r="AQ81" s="41" t="s">
        <v>161</v>
      </c>
      <c r="AR81" s="41" t="s">
        <v>161</v>
      </c>
      <c r="AS81" s="41" t="s">
        <v>161</v>
      </c>
      <c r="AT81" s="41" t="s">
        <v>161</v>
      </c>
      <c r="AU81" s="41" t="s">
        <v>161</v>
      </c>
      <c r="AV81" s="41" t="s">
        <v>161</v>
      </c>
      <c r="AW81" s="41" t="s">
        <v>161</v>
      </c>
      <c r="AX81" s="41" t="s">
        <v>161</v>
      </c>
      <c r="AY81" s="41" t="s">
        <v>161</v>
      </c>
      <c r="AZ81" s="41" t="s">
        <v>161</v>
      </c>
      <c r="BA81" s="41" t="s">
        <v>161</v>
      </c>
      <c r="BB81" s="41" t="s">
        <v>161</v>
      </c>
      <c r="BC81" s="41" t="s">
        <v>161</v>
      </c>
      <c r="BD81" s="41" t="s">
        <v>161</v>
      </c>
      <c r="BE81" s="41" t="s">
        <v>161</v>
      </c>
      <c r="BF81" s="41" t="s">
        <v>161</v>
      </c>
      <c r="BG81" s="41" t="s">
        <v>161</v>
      </c>
      <c r="BH81" s="41" t="s">
        <v>161</v>
      </c>
      <c r="BI81" s="41" t="s">
        <v>161</v>
      </c>
      <c r="BJ81" s="41" t="s">
        <v>161</v>
      </c>
      <c r="BK81" s="41" t="s">
        <v>161</v>
      </c>
      <c r="BL81" s="41" t="s">
        <v>161</v>
      </c>
      <c r="BM81" s="41" t="s">
        <v>161</v>
      </c>
      <c r="BN81" s="41" t="s">
        <v>161</v>
      </c>
      <c r="BO81" s="41" t="s">
        <v>161</v>
      </c>
      <c r="BP81" s="41" t="s">
        <v>161</v>
      </c>
      <c r="BQ81" s="41" t="s">
        <v>161</v>
      </c>
      <c r="BR81" s="41" t="s">
        <v>161</v>
      </c>
      <c r="BS81" s="41" t="s">
        <v>161</v>
      </c>
      <c r="BT81" s="41" t="s">
        <v>161</v>
      </c>
      <c r="BU81" s="41" t="s">
        <v>161</v>
      </c>
      <c r="BV81" s="41" t="s">
        <v>161</v>
      </c>
      <c r="BW81" s="41" t="s">
        <v>161</v>
      </c>
    </row>
    <row r="82" spans="1:75" s="17" customFormat="1" ht="63" hidden="1" x14ac:dyDescent="0.25">
      <c r="A82" s="42" t="s">
        <v>143</v>
      </c>
      <c r="B82" s="43" t="s">
        <v>144</v>
      </c>
      <c r="C82" s="41" t="s">
        <v>161</v>
      </c>
      <c r="D82" s="41" t="s">
        <v>161</v>
      </c>
      <c r="E82" s="41" t="s">
        <v>161</v>
      </c>
      <c r="F82" s="41" t="s">
        <v>161</v>
      </c>
      <c r="G82" s="41" t="s">
        <v>161</v>
      </c>
      <c r="H82" s="44">
        <v>0</v>
      </c>
      <c r="I82" s="44">
        <v>0</v>
      </c>
      <c r="J82" s="41" t="s">
        <v>161</v>
      </c>
      <c r="K82" s="44">
        <v>0</v>
      </c>
      <c r="L82" s="44">
        <v>0</v>
      </c>
      <c r="M82" s="41" t="s">
        <v>161</v>
      </c>
      <c r="N82" s="41" t="s">
        <v>161</v>
      </c>
      <c r="O82" s="41" t="s">
        <v>161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1" t="s">
        <v>161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1" t="s">
        <v>161</v>
      </c>
      <c r="AJ82" s="41" t="s">
        <v>161</v>
      </c>
      <c r="AK82" s="41" t="s">
        <v>161</v>
      </c>
      <c r="AL82" s="41" t="s">
        <v>161</v>
      </c>
      <c r="AM82" s="41" t="s">
        <v>161</v>
      </c>
      <c r="AN82" s="41" t="s">
        <v>161</v>
      </c>
      <c r="AO82" s="41" t="s">
        <v>161</v>
      </c>
      <c r="AP82" s="41" t="s">
        <v>161</v>
      </c>
      <c r="AQ82" s="41" t="s">
        <v>161</v>
      </c>
      <c r="AR82" s="41" t="s">
        <v>161</v>
      </c>
      <c r="AS82" s="41" t="s">
        <v>161</v>
      </c>
      <c r="AT82" s="41" t="s">
        <v>161</v>
      </c>
      <c r="AU82" s="41" t="s">
        <v>161</v>
      </c>
      <c r="AV82" s="41" t="s">
        <v>161</v>
      </c>
      <c r="AW82" s="41" t="s">
        <v>161</v>
      </c>
      <c r="AX82" s="41" t="s">
        <v>161</v>
      </c>
      <c r="AY82" s="41" t="s">
        <v>161</v>
      </c>
      <c r="AZ82" s="41" t="s">
        <v>161</v>
      </c>
      <c r="BA82" s="41" t="s">
        <v>161</v>
      </c>
      <c r="BB82" s="41" t="s">
        <v>161</v>
      </c>
      <c r="BC82" s="41" t="s">
        <v>161</v>
      </c>
      <c r="BD82" s="41" t="s">
        <v>161</v>
      </c>
      <c r="BE82" s="41" t="s">
        <v>161</v>
      </c>
      <c r="BF82" s="41" t="s">
        <v>161</v>
      </c>
      <c r="BG82" s="41" t="s">
        <v>161</v>
      </c>
      <c r="BH82" s="41" t="s">
        <v>161</v>
      </c>
      <c r="BI82" s="41" t="s">
        <v>161</v>
      </c>
      <c r="BJ82" s="41" t="s">
        <v>161</v>
      </c>
      <c r="BK82" s="41" t="s">
        <v>161</v>
      </c>
      <c r="BL82" s="41" t="s">
        <v>161</v>
      </c>
      <c r="BM82" s="41" t="s">
        <v>161</v>
      </c>
      <c r="BN82" s="41" t="s">
        <v>161</v>
      </c>
      <c r="BO82" s="41" t="s">
        <v>161</v>
      </c>
      <c r="BP82" s="41" t="s">
        <v>161</v>
      </c>
      <c r="BQ82" s="41" t="s">
        <v>161</v>
      </c>
      <c r="BR82" s="41" t="s">
        <v>161</v>
      </c>
      <c r="BS82" s="41" t="s">
        <v>161</v>
      </c>
      <c r="BT82" s="41" t="s">
        <v>161</v>
      </c>
      <c r="BU82" s="41" t="s">
        <v>161</v>
      </c>
      <c r="BV82" s="41" t="s">
        <v>161</v>
      </c>
      <c r="BW82" s="41" t="s">
        <v>161</v>
      </c>
    </row>
    <row r="83" spans="1:75" s="17" customFormat="1" ht="31.5" hidden="1" x14ac:dyDescent="0.25">
      <c r="A83" s="42" t="s">
        <v>145</v>
      </c>
      <c r="B83" s="43" t="s">
        <v>146</v>
      </c>
      <c r="C83" s="41" t="s">
        <v>161</v>
      </c>
      <c r="D83" s="41" t="s">
        <v>161</v>
      </c>
      <c r="E83" s="41" t="s">
        <v>161</v>
      </c>
      <c r="F83" s="41" t="s">
        <v>161</v>
      </c>
      <c r="G83" s="41" t="s">
        <v>161</v>
      </c>
      <c r="H83" s="44">
        <v>0</v>
      </c>
      <c r="I83" s="44">
        <v>0</v>
      </c>
      <c r="J83" s="41" t="s">
        <v>161</v>
      </c>
      <c r="K83" s="44">
        <v>0</v>
      </c>
      <c r="L83" s="44">
        <v>0</v>
      </c>
      <c r="M83" s="41" t="s">
        <v>161</v>
      </c>
      <c r="N83" s="41" t="s">
        <v>161</v>
      </c>
      <c r="O83" s="41" t="s">
        <v>161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1" t="s">
        <v>161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1" t="s">
        <v>161</v>
      </c>
      <c r="AJ83" s="41" t="s">
        <v>161</v>
      </c>
      <c r="AK83" s="41" t="s">
        <v>161</v>
      </c>
      <c r="AL83" s="41" t="s">
        <v>161</v>
      </c>
      <c r="AM83" s="41" t="s">
        <v>161</v>
      </c>
      <c r="AN83" s="41" t="s">
        <v>161</v>
      </c>
      <c r="AO83" s="41" t="s">
        <v>161</v>
      </c>
      <c r="AP83" s="41" t="s">
        <v>161</v>
      </c>
      <c r="AQ83" s="41" t="s">
        <v>161</v>
      </c>
      <c r="AR83" s="41" t="s">
        <v>161</v>
      </c>
      <c r="AS83" s="41" t="s">
        <v>161</v>
      </c>
      <c r="AT83" s="41" t="s">
        <v>161</v>
      </c>
      <c r="AU83" s="41" t="s">
        <v>161</v>
      </c>
      <c r="AV83" s="41" t="s">
        <v>161</v>
      </c>
      <c r="AW83" s="41" t="s">
        <v>161</v>
      </c>
      <c r="AX83" s="41" t="s">
        <v>161</v>
      </c>
      <c r="AY83" s="41" t="s">
        <v>161</v>
      </c>
      <c r="AZ83" s="41" t="s">
        <v>161</v>
      </c>
      <c r="BA83" s="41" t="s">
        <v>161</v>
      </c>
      <c r="BB83" s="41" t="s">
        <v>161</v>
      </c>
      <c r="BC83" s="41" t="s">
        <v>161</v>
      </c>
      <c r="BD83" s="41" t="s">
        <v>161</v>
      </c>
      <c r="BE83" s="41" t="s">
        <v>161</v>
      </c>
      <c r="BF83" s="41" t="s">
        <v>161</v>
      </c>
      <c r="BG83" s="41" t="s">
        <v>161</v>
      </c>
      <c r="BH83" s="41" t="s">
        <v>161</v>
      </c>
      <c r="BI83" s="41" t="s">
        <v>161</v>
      </c>
      <c r="BJ83" s="41" t="s">
        <v>161</v>
      </c>
      <c r="BK83" s="41" t="s">
        <v>161</v>
      </c>
      <c r="BL83" s="41" t="s">
        <v>161</v>
      </c>
      <c r="BM83" s="41" t="s">
        <v>161</v>
      </c>
      <c r="BN83" s="41" t="s">
        <v>161</v>
      </c>
      <c r="BO83" s="41" t="s">
        <v>161</v>
      </c>
      <c r="BP83" s="41" t="s">
        <v>161</v>
      </c>
      <c r="BQ83" s="41" t="s">
        <v>161</v>
      </c>
      <c r="BR83" s="41" t="s">
        <v>161</v>
      </c>
      <c r="BS83" s="41" t="s">
        <v>161</v>
      </c>
      <c r="BT83" s="41" t="s">
        <v>161</v>
      </c>
      <c r="BU83" s="41" t="s">
        <v>161</v>
      </c>
      <c r="BV83" s="41" t="s">
        <v>161</v>
      </c>
      <c r="BW83" s="41" t="s">
        <v>161</v>
      </c>
    </row>
    <row r="84" spans="1:75" s="17" customFormat="1" ht="47.25" hidden="1" x14ac:dyDescent="0.25">
      <c r="A84" s="42" t="s">
        <v>147</v>
      </c>
      <c r="B84" s="43" t="s">
        <v>148</v>
      </c>
      <c r="C84" s="41" t="s">
        <v>161</v>
      </c>
      <c r="D84" s="41" t="s">
        <v>161</v>
      </c>
      <c r="E84" s="41" t="s">
        <v>161</v>
      </c>
      <c r="F84" s="41" t="s">
        <v>161</v>
      </c>
      <c r="G84" s="41" t="s">
        <v>161</v>
      </c>
      <c r="H84" s="44">
        <v>0</v>
      </c>
      <c r="I84" s="44">
        <v>0</v>
      </c>
      <c r="J84" s="41" t="s">
        <v>161</v>
      </c>
      <c r="K84" s="44">
        <v>0</v>
      </c>
      <c r="L84" s="44">
        <v>0</v>
      </c>
      <c r="M84" s="41" t="s">
        <v>161</v>
      </c>
      <c r="N84" s="41" t="s">
        <v>161</v>
      </c>
      <c r="O84" s="41" t="s">
        <v>161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1" t="s">
        <v>161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1" t="s">
        <v>161</v>
      </c>
      <c r="AJ84" s="41" t="s">
        <v>161</v>
      </c>
      <c r="AK84" s="41" t="s">
        <v>161</v>
      </c>
      <c r="AL84" s="41" t="s">
        <v>161</v>
      </c>
      <c r="AM84" s="41" t="s">
        <v>161</v>
      </c>
      <c r="AN84" s="41" t="s">
        <v>161</v>
      </c>
      <c r="AO84" s="41" t="s">
        <v>161</v>
      </c>
      <c r="AP84" s="41" t="s">
        <v>161</v>
      </c>
      <c r="AQ84" s="41" t="s">
        <v>161</v>
      </c>
      <c r="AR84" s="41" t="s">
        <v>161</v>
      </c>
      <c r="AS84" s="41" t="s">
        <v>161</v>
      </c>
      <c r="AT84" s="41" t="s">
        <v>161</v>
      </c>
      <c r="AU84" s="41" t="s">
        <v>161</v>
      </c>
      <c r="AV84" s="41" t="s">
        <v>161</v>
      </c>
      <c r="AW84" s="41" t="s">
        <v>161</v>
      </c>
      <c r="AX84" s="41" t="s">
        <v>161</v>
      </c>
      <c r="AY84" s="41" t="s">
        <v>161</v>
      </c>
      <c r="AZ84" s="41" t="s">
        <v>161</v>
      </c>
      <c r="BA84" s="41" t="s">
        <v>161</v>
      </c>
      <c r="BB84" s="41" t="s">
        <v>161</v>
      </c>
      <c r="BC84" s="41" t="s">
        <v>161</v>
      </c>
      <c r="BD84" s="41" t="s">
        <v>161</v>
      </c>
      <c r="BE84" s="41" t="s">
        <v>161</v>
      </c>
      <c r="BF84" s="41" t="s">
        <v>161</v>
      </c>
      <c r="BG84" s="41" t="s">
        <v>161</v>
      </c>
      <c r="BH84" s="41" t="s">
        <v>161</v>
      </c>
      <c r="BI84" s="41" t="s">
        <v>161</v>
      </c>
      <c r="BJ84" s="41" t="s">
        <v>161</v>
      </c>
      <c r="BK84" s="41" t="s">
        <v>161</v>
      </c>
      <c r="BL84" s="41" t="s">
        <v>161</v>
      </c>
      <c r="BM84" s="41" t="s">
        <v>161</v>
      </c>
      <c r="BN84" s="41" t="s">
        <v>161</v>
      </c>
      <c r="BO84" s="41" t="s">
        <v>161</v>
      </c>
      <c r="BP84" s="41" t="s">
        <v>161</v>
      </c>
      <c r="BQ84" s="41" t="s">
        <v>161</v>
      </c>
      <c r="BR84" s="41" t="s">
        <v>161</v>
      </c>
      <c r="BS84" s="41" t="s">
        <v>161</v>
      </c>
      <c r="BT84" s="41" t="s">
        <v>161</v>
      </c>
      <c r="BU84" s="41" t="s">
        <v>161</v>
      </c>
      <c r="BV84" s="41" t="s">
        <v>161</v>
      </c>
      <c r="BW84" s="41" t="s">
        <v>161</v>
      </c>
    </row>
    <row r="85" spans="1:75" s="17" customFormat="1" ht="63" hidden="1" x14ac:dyDescent="0.25">
      <c r="A85" s="42" t="s">
        <v>149</v>
      </c>
      <c r="B85" s="43" t="s">
        <v>150</v>
      </c>
      <c r="C85" s="41" t="s">
        <v>161</v>
      </c>
      <c r="D85" s="41" t="s">
        <v>161</v>
      </c>
      <c r="E85" s="41" t="s">
        <v>161</v>
      </c>
      <c r="F85" s="41" t="s">
        <v>161</v>
      </c>
      <c r="G85" s="41" t="s">
        <v>161</v>
      </c>
      <c r="H85" s="44">
        <v>0</v>
      </c>
      <c r="I85" s="44">
        <v>0</v>
      </c>
      <c r="J85" s="41" t="s">
        <v>161</v>
      </c>
      <c r="K85" s="44">
        <v>0</v>
      </c>
      <c r="L85" s="44">
        <v>0</v>
      </c>
      <c r="M85" s="41" t="s">
        <v>161</v>
      </c>
      <c r="N85" s="41" t="s">
        <v>161</v>
      </c>
      <c r="O85" s="41" t="s">
        <v>161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1" t="s">
        <v>161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1" t="s">
        <v>161</v>
      </c>
      <c r="AJ85" s="41" t="s">
        <v>161</v>
      </c>
      <c r="AK85" s="41" t="s">
        <v>161</v>
      </c>
      <c r="AL85" s="41" t="s">
        <v>161</v>
      </c>
      <c r="AM85" s="41" t="s">
        <v>161</v>
      </c>
      <c r="AN85" s="41" t="s">
        <v>161</v>
      </c>
      <c r="AO85" s="41" t="s">
        <v>161</v>
      </c>
      <c r="AP85" s="41" t="s">
        <v>161</v>
      </c>
      <c r="AQ85" s="41" t="s">
        <v>161</v>
      </c>
      <c r="AR85" s="41" t="s">
        <v>161</v>
      </c>
      <c r="AS85" s="41" t="s">
        <v>161</v>
      </c>
      <c r="AT85" s="41" t="s">
        <v>161</v>
      </c>
      <c r="AU85" s="41" t="s">
        <v>161</v>
      </c>
      <c r="AV85" s="41" t="s">
        <v>161</v>
      </c>
      <c r="AW85" s="41" t="s">
        <v>161</v>
      </c>
      <c r="AX85" s="41" t="s">
        <v>161</v>
      </c>
      <c r="AY85" s="41" t="s">
        <v>161</v>
      </c>
      <c r="AZ85" s="41" t="s">
        <v>161</v>
      </c>
      <c r="BA85" s="41" t="s">
        <v>161</v>
      </c>
      <c r="BB85" s="41" t="s">
        <v>161</v>
      </c>
      <c r="BC85" s="41" t="s">
        <v>161</v>
      </c>
      <c r="BD85" s="41" t="s">
        <v>161</v>
      </c>
      <c r="BE85" s="41" t="s">
        <v>161</v>
      </c>
      <c r="BF85" s="41" t="s">
        <v>161</v>
      </c>
      <c r="BG85" s="41" t="s">
        <v>161</v>
      </c>
      <c r="BH85" s="41" t="s">
        <v>161</v>
      </c>
      <c r="BI85" s="41" t="s">
        <v>161</v>
      </c>
      <c r="BJ85" s="41" t="s">
        <v>161</v>
      </c>
      <c r="BK85" s="41" t="s">
        <v>161</v>
      </c>
      <c r="BL85" s="41" t="s">
        <v>161</v>
      </c>
      <c r="BM85" s="41" t="s">
        <v>161</v>
      </c>
      <c r="BN85" s="41" t="s">
        <v>161</v>
      </c>
      <c r="BO85" s="41" t="s">
        <v>161</v>
      </c>
      <c r="BP85" s="41" t="s">
        <v>161</v>
      </c>
      <c r="BQ85" s="41" t="s">
        <v>161</v>
      </c>
      <c r="BR85" s="41" t="s">
        <v>161</v>
      </c>
      <c r="BS85" s="41" t="s">
        <v>161</v>
      </c>
      <c r="BT85" s="41" t="s">
        <v>161</v>
      </c>
      <c r="BU85" s="41" t="s">
        <v>161</v>
      </c>
      <c r="BV85" s="41" t="s">
        <v>161</v>
      </c>
      <c r="BW85" s="41" t="s">
        <v>161</v>
      </c>
    </row>
    <row r="86" spans="1:75" s="17" customFormat="1" ht="63" hidden="1" x14ac:dyDescent="0.25">
      <c r="A86" s="42" t="s">
        <v>151</v>
      </c>
      <c r="B86" s="43" t="s">
        <v>152</v>
      </c>
      <c r="C86" s="41" t="s">
        <v>161</v>
      </c>
      <c r="D86" s="41" t="s">
        <v>161</v>
      </c>
      <c r="E86" s="41" t="s">
        <v>161</v>
      </c>
      <c r="F86" s="41" t="s">
        <v>161</v>
      </c>
      <c r="G86" s="41" t="s">
        <v>161</v>
      </c>
      <c r="H86" s="44">
        <v>0</v>
      </c>
      <c r="I86" s="44">
        <v>0</v>
      </c>
      <c r="J86" s="41" t="s">
        <v>161</v>
      </c>
      <c r="K86" s="44">
        <v>0</v>
      </c>
      <c r="L86" s="44">
        <v>0</v>
      </c>
      <c r="M86" s="41" t="s">
        <v>161</v>
      </c>
      <c r="N86" s="41" t="s">
        <v>161</v>
      </c>
      <c r="O86" s="41" t="s">
        <v>161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1" t="s">
        <v>161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1" t="s">
        <v>161</v>
      </c>
      <c r="AJ86" s="41" t="s">
        <v>161</v>
      </c>
      <c r="AK86" s="41" t="s">
        <v>161</v>
      </c>
      <c r="AL86" s="41" t="s">
        <v>161</v>
      </c>
      <c r="AM86" s="41" t="s">
        <v>161</v>
      </c>
      <c r="AN86" s="41" t="s">
        <v>161</v>
      </c>
      <c r="AO86" s="41" t="s">
        <v>161</v>
      </c>
      <c r="AP86" s="41" t="s">
        <v>161</v>
      </c>
      <c r="AQ86" s="41" t="s">
        <v>161</v>
      </c>
      <c r="AR86" s="41" t="s">
        <v>161</v>
      </c>
      <c r="AS86" s="41" t="s">
        <v>161</v>
      </c>
      <c r="AT86" s="41" t="s">
        <v>161</v>
      </c>
      <c r="AU86" s="41" t="s">
        <v>161</v>
      </c>
      <c r="AV86" s="41" t="s">
        <v>161</v>
      </c>
      <c r="AW86" s="41" t="s">
        <v>161</v>
      </c>
      <c r="AX86" s="41" t="s">
        <v>161</v>
      </c>
      <c r="AY86" s="41" t="s">
        <v>161</v>
      </c>
      <c r="AZ86" s="41" t="s">
        <v>161</v>
      </c>
      <c r="BA86" s="41" t="s">
        <v>161</v>
      </c>
      <c r="BB86" s="41" t="s">
        <v>161</v>
      </c>
      <c r="BC86" s="41" t="s">
        <v>161</v>
      </c>
      <c r="BD86" s="41" t="s">
        <v>161</v>
      </c>
      <c r="BE86" s="41" t="s">
        <v>161</v>
      </c>
      <c r="BF86" s="41" t="s">
        <v>161</v>
      </c>
      <c r="BG86" s="41" t="s">
        <v>161</v>
      </c>
      <c r="BH86" s="41" t="s">
        <v>161</v>
      </c>
      <c r="BI86" s="41" t="s">
        <v>161</v>
      </c>
      <c r="BJ86" s="41" t="s">
        <v>161</v>
      </c>
      <c r="BK86" s="41" t="s">
        <v>161</v>
      </c>
      <c r="BL86" s="41" t="s">
        <v>161</v>
      </c>
      <c r="BM86" s="41" t="s">
        <v>161</v>
      </c>
      <c r="BN86" s="41" t="s">
        <v>161</v>
      </c>
      <c r="BO86" s="41" t="s">
        <v>161</v>
      </c>
      <c r="BP86" s="41" t="s">
        <v>161</v>
      </c>
      <c r="BQ86" s="41" t="s">
        <v>161</v>
      </c>
      <c r="BR86" s="41" t="s">
        <v>161</v>
      </c>
      <c r="BS86" s="41" t="s">
        <v>161</v>
      </c>
      <c r="BT86" s="41" t="s">
        <v>161</v>
      </c>
      <c r="BU86" s="41" t="s">
        <v>161</v>
      </c>
      <c r="BV86" s="41" t="s">
        <v>161</v>
      </c>
      <c r="BW86" s="41" t="s">
        <v>161</v>
      </c>
    </row>
    <row r="87" spans="1:75" s="17" customFormat="1" ht="63" hidden="1" x14ac:dyDescent="0.25">
      <c r="A87" s="42" t="s">
        <v>153</v>
      </c>
      <c r="B87" s="43" t="s">
        <v>154</v>
      </c>
      <c r="C87" s="41" t="s">
        <v>161</v>
      </c>
      <c r="D87" s="41" t="s">
        <v>161</v>
      </c>
      <c r="E87" s="41" t="s">
        <v>161</v>
      </c>
      <c r="F87" s="41" t="s">
        <v>161</v>
      </c>
      <c r="G87" s="41" t="s">
        <v>161</v>
      </c>
      <c r="H87" s="44">
        <v>0</v>
      </c>
      <c r="I87" s="44">
        <v>0</v>
      </c>
      <c r="J87" s="41" t="s">
        <v>161</v>
      </c>
      <c r="K87" s="44">
        <v>0</v>
      </c>
      <c r="L87" s="44">
        <v>0</v>
      </c>
      <c r="M87" s="41" t="s">
        <v>161</v>
      </c>
      <c r="N87" s="41" t="s">
        <v>161</v>
      </c>
      <c r="O87" s="41" t="s">
        <v>161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1" t="s">
        <v>161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1" t="s">
        <v>161</v>
      </c>
      <c r="AJ87" s="41" t="s">
        <v>161</v>
      </c>
      <c r="AK87" s="41" t="s">
        <v>161</v>
      </c>
      <c r="AL87" s="41" t="s">
        <v>161</v>
      </c>
      <c r="AM87" s="41" t="s">
        <v>161</v>
      </c>
      <c r="AN87" s="41" t="s">
        <v>161</v>
      </c>
      <c r="AO87" s="41" t="s">
        <v>161</v>
      </c>
      <c r="AP87" s="41" t="s">
        <v>161</v>
      </c>
      <c r="AQ87" s="41" t="s">
        <v>161</v>
      </c>
      <c r="AR87" s="41" t="s">
        <v>161</v>
      </c>
      <c r="AS87" s="41" t="s">
        <v>161</v>
      </c>
      <c r="AT87" s="41" t="s">
        <v>161</v>
      </c>
      <c r="AU87" s="41" t="s">
        <v>161</v>
      </c>
      <c r="AV87" s="41" t="s">
        <v>161</v>
      </c>
      <c r="AW87" s="41" t="s">
        <v>161</v>
      </c>
      <c r="AX87" s="41" t="s">
        <v>161</v>
      </c>
      <c r="AY87" s="41" t="s">
        <v>161</v>
      </c>
      <c r="AZ87" s="41" t="s">
        <v>161</v>
      </c>
      <c r="BA87" s="41" t="s">
        <v>161</v>
      </c>
      <c r="BB87" s="41" t="s">
        <v>161</v>
      </c>
      <c r="BC87" s="41" t="s">
        <v>161</v>
      </c>
      <c r="BD87" s="41" t="s">
        <v>161</v>
      </c>
      <c r="BE87" s="41" t="s">
        <v>161</v>
      </c>
      <c r="BF87" s="41" t="s">
        <v>161</v>
      </c>
      <c r="BG87" s="41" t="s">
        <v>161</v>
      </c>
      <c r="BH87" s="41" t="s">
        <v>161</v>
      </c>
      <c r="BI87" s="41" t="s">
        <v>161</v>
      </c>
      <c r="BJ87" s="41" t="s">
        <v>161</v>
      </c>
      <c r="BK87" s="41" t="s">
        <v>161</v>
      </c>
      <c r="BL87" s="41" t="s">
        <v>161</v>
      </c>
      <c r="BM87" s="41" t="s">
        <v>161</v>
      </c>
      <c r="BN87" s="41" t="s">
        <v>161</v>
      </c>
      <c r="BO87" s="41" t="s">
        <v>161</v>
      </c>
      <c r="BP87" s="41" t="s">
        <v>161</v>
      </c>
      <c r="BQ87" s="41" t="s">
        <v>161</v>
      </c>
      <c r="BR87" s="41" t="s">
        <v>161</v>
      </c>
      <c r="BS87" s="41" t="s">
        <v>161</v>
      </c>
      <c r="BT87" s="41" t="s">
        <v>161</v>
      </c>
      <c r="BU87" s="41" t="s">
        <v>161</v>
      </c>
      <c r="BV87" s="41" t="s">
        <v>161</v>
      </c>
      <c r="BW87" s="41" t="s">
        <v>161</v>
      </c>
    </row>
    <row r="88" spans="1:75" s="17" customFormat="1" ht="47.25" hidden="1" x14ac:dyDescent="0.25">
      <c r="A88" s="42" t="s">
        <v>155</v>
      </c>
      <c r="B88" s="43" t="s">
        <v>156</v>
      </c>
      <c r="C88" s="41" t="s">
        <v>161</v>
      </c>
      <c r="D88" s="41" t="s">
        <v>161</v>
      </c>
      <c r="E88" s="41" t="s">
        <v>161</v>
      </c>
      <c r="F88" s="41" t="s">
        <v>161</v>
      </c>
      <c r="G88" s="41" t="s">
        <v>161</v>
      </c>
      <c r="H88" s="44">
        <v>0</v>
      </c>
      <c r="I88" s="44">
        <v>0</v>
      </c>
      <c r="J88" s="41" t="s">
        <v>161</v>
      </c>
      <c r="K88" s="44">
        <v>0</v>
      </c>
      <c r="L88" s="44">
        <v>0</v>
      </c>
      <c r="M88" s="41" t="s">
        <v>161</v>
      </c>
      <c r="N88" s="41" t="s">
        <v>161</v>
      </c>
      <c r="O88" s="41" t="s">
        <v>161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1" t="s">
        <v>161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1" t="s">
        <v>161</v>
      </c>
      <c r="AJ88" s="41" t="s">
        <v>161</v>
      </c>
      <c r="AK88" s="41" t="s">
        <v>161</v>
      </c>
      <c r="AL88" s="41" t="s">
        <v>161</v>
      </c>
      <c r="AM88" s="41" t="s">
        <v>161</v>
      </c>
      <c r="AN88" s="41" t="s">
        <v>161</v>
      </c>
      <c r="AO88" s="41" t="s">
        <v>161</v>
      </c>
      <c r="AP88" s="41" t="s">
        <v>161</v>
      </c>
      <c r="AQ88" s="41" t="s">
        <v>161</v>
      </c>
      <c r="AR88" s="41" t="s">
        <v>161</v>
      </c>
      <c r="AS88" s="41" t="s">
        <v>161</v>
      </c>
      <c r="AT88" s="41" t="s">
        <v>161</v>
      </c>
      <c r="AU88" s="41" t="s">
        <v>161</v>
      </c>
      <c r="AV88" s="41" t="s">
        <v>161</v>
      </c>
      <c r="AW88" s="41" t="s">
        <v>161</v>
      </c>
      <c r="AX88" s="41" t="s">
        <v>161</v>
      </c>
      <c r="AY88" s="41" t="s">
        <v>161</v>
      </c>
      <c r="AZ88" s="41" t="s">
        <v>161</v>
      </c>
      <c r="BA88" s="41" t="s">
        <v>161</v>
      </c>
      <c r="BB88" s="41" t="s">
        <v>161</v>
      </c>
      <c r="BC88" s="41" t="s">
        <v>161</v>
      </c>
      <c r="BD88" s="41" t="s">
        <v>161</v>
      </c>
      <c r="BE88" s="41" t="s">
        <v>161</v>
      </c>
      <c r="BF88" s="41" t="s">
        <v>161</v>
      </c>
      <c r="BG88" s="41" t="s">
        <v>161</v>
      </c>
      <c r="BH88" s="41" t="s">
        <v>161</v>
      </c>
      <c r="BI88" s="41" t="s">
        <v>161</v>
      </c>
      <c r="BJ88" s="41" t="s">
        <v>161</v>
      </c>
      <c r="BK88" s="41" t="s">
        <v>161</v>
      </c>
      <c r="BL88" s="41" t="s">
        <v>161</v>
      </c>
      <c r="BM88" s="41" t="s">
        <v>161</v>
      </c>
      <c r="BN88" s="41" t="s">
        <v>161</v>
      </c>
      <c r="BO88" s="41" t="s">
        <v>161</v>
      </c>
      <c r="BP88" s="41" t="s">
        <v>161</v>
      </c>
      <c r="BQ88" s="41" t="s">
        <v>161</v>
      </c>
      <c r="BR88" s="41" t="s">
        <v>161</v>
      </c>
      <c r="BS88" s="41" t="s">
        <v>161</v>
      </c>
      <c r="BT88" s="41" t="s">
        <v>161</v>
      </c>
      <c r="BU88" s="41" t="s">
        <v>161</v>
      </c>
      <c r="BV88" s="41" t="s">
        <v>161</v>
      </c>
      <c r="BW88" s="41" t="s">
        <v>161</v>
      </c>
    </row>
    <row r="89" spans="1:75" s="17" customFormat="1" ht="47.25" hidden="1" x14ac:dyDescent="0.25">
      <c r="A89" s="42" t="s">
        <v>157</v>
      </c>
      <c r="B89" s="43" t="s">
        <v>158</v>
      </c>
      <c r="C89" s="41" t="s">
        <v>161</v>
      </c>
      <c r="D89" s="41" t="s">
        <v>161</v>
      </c>
      <c r="E89" s="41" t="s">
        <v>161</v>
      </c>
      <c r="F89" s="41" t="s">
        <v>161</v>
      </c>
      <c r="G89" s="41" t="s">
        <v>161</v>
      </c>
      <c r="H89" s="44">
        <v>0</v>
      </c>
      <c r="I89" s="44">
        <v>0</v>
      </c>
      <c r="J89" s="41" t="s">
        <v>161</v>
      </c>
      <c r="K89" s="44">
        <v>0</v>
      </c>
      <c r="L89" s="44">
        <v>0</v>
      </c>
      <c r="M89" s="41" t="s">
        <v>161</v>
      </c>
      <c r="N89" s="41" t="s">
        <v>161</v>
      </c>
      <c r="O89" s="41" t="s">
        <v>161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1" t="s">
        <v>161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1" t="s">
        <v>161</v>
      </c>
      <c r="AJ89" s="41" t="s">
        <v>161</v>
      </c>
      <c r="AK89" s="41" t="s">
        <v>161</v>
      </c>
      <c r="AL89" s="41" t="s">
        <v>161</v>
      </c>
      <c r="AM89" s="41" t="s">
        <v>161</v>
      </c>
      <c r="AN89" s="41" t="s">
        <v>161</v>
      </c>
      <c r="AO89" s="41" t="s">
        <v>161</v>
      </c>
      <c r="AP89" s="41" t="s">
        <v>161</v>
      </c>
      <c r="AQ89" s="41" t="s">
        <v>161</v>
      </c>
      <c r="AR89" s="41" t="s">
        <v>161</v>
      </c>
      <c r="AS89" s="41" t="s">
        <v>161</v>
      </c>
      <c r="AT89" s="41" t="s">
        <v>161</v>
      </c>
      <c r="AU89" s="41" t="s">
        <v>161</v>
      </c>
      <c r="AV89" s="41" t="s">
        <v>161</v>
      </c>
      <c r="AW89" s="41" t="s">
        <v>161</v>
      </c>
      <c r="AX89" s="41" t="s">
        <v>161</v>
      </c>
      <c r="AY89" s="41" t="s">
        <v>161</v>
      </c>
      <c r="AZ89" s="41" t="s">
        <v>161</v>
      </c>
      <c r="BA89" s="41" t="s">
        <v>161</v>
      </c>
      <c r="BB89" s="41" t="s">
        <v>161</v>
      </c>
      <c r="BC89" s="41" t="s">
        <v>161</v>
      </c>
      <c r="BD89" s="41" t="s">
        <v>161</v>
      </c>
      <c r="BE89" s="41" t="s">
        <v>161</v>
      </c>
      <c r="BF89" s="41" t="s">
        <v>161</v>
      </c>
      <c r="BG89" s="41" t="s">
        <v>161</v>
      </c>
      <c r="BH89" s="41" t="s">
        <v>161</v>
      </c>
      <c r="BI89" s="41" t="s">
        <v>161</v>
      </c>
      <c r="BJ89" s="41" t="s">
        <v>161</v>
      </c>
      <c r="BK89" s="41" t="s">
        <v>161</v>
      </c>
      <c r="BL89" s="41" t="s">
        <v>161</v>
      </c>
      <c r="BM89" s="41" t="s">
        <v>161</v>
      </c>
      <c r="BN89" s="41" t="s">
        <v>161</v>
      </c>
      <c r="BO89" s="41" t="s">
        <v>161</v>
      </c>
      <c r="BP89" s="41" t="s">
        <v>161</v>
      </c>
      <c r="BQ89" s="41" t="s">
        <v>161</v>
      </c>
      <c r="BR89" s="41" t="s">
        <v>161</v>
      </c>
      <c r="BS89" s="41" t="s">
        <v>161</v>
      </c>
      <c r="BT89" s="41" t="s">
        <v>161</v>
      </c>
      <c r="BU89" s="41" t="s">
        <v>161</v>
      </c>
      <c r="BV89" s="41" t="s">
        <v>161</v>
      </c>
      <c r="BW89" s="41" t="s">
        <v>161</v>
      </c>
    </row>
    <row r="90" spans="1:75" s="17" customFormat="1" ht="31.5" x14ac:dyDescent="0.25">
      <c r="A90" s="42" t="s">
        <v>159</v>
      </c>
      <c r="B90" s="43" t="s">
        <v>160</v>
      </c>
      <c r="C90" s="41" t="s">
        <v>167</v>
      </c>
      <c r="D90" s="41" t="s">
        <v>161</v>
      </c>
      <c r="E90" s="41" t="s">
        <v>161</v>
      </c>
      <c r="F90" s="41" t="s">
        <v>161</v>
      </c>
      <c r="G90" s="41" t="s">
        <v>161</v>
      </c>
      <c r="H90" s="44">
        <f>SUM(H91:H92)</f>
        <v>0</v>
      </c>
      <c r="I90" s="44">
        <f>SUM(I91:I92)</f>
        <v>1.1735289039999999</v>
      </c>
      <c r="J90" s="41" t="s">
        <v>161</v>
      </c>
      <c r="K90" s="44">
        <f>SUM(K91:K92)</f>
        <v>7.0036268599999993E-2</v>
      </c>
      <c r="L90" s="44">
        <f>SUM(L91:L92)</f>
        <v>1.1735289039999999</v>
      </c>
      <c r="M90" s="41" t="s">
        <v>161</v>
      </c>
      <c r="N90" s="44">
        <f>SUM(N91:N92)</f>
        <v>0</v>
      </c>
      <c r="O90" s="44">
        <f>SUM(O91:O92)</f>
        <v>0</v>
      </c>
      <c r="P90" s="44" t="s">
        <v>161</v>
      </c>
      <c r="Q90" s="44" t="s">
        <v>161</v>
      </c>
      <c r="R90" s="44" t="s">
        <v>161</v>
      </c>
      <c r="S90" s="44" t="s">
        <v>161</v>
      </c>
      <c r="T90" s="44">
        <f t="shared" ref="T90:AC90" si="75">SUM(T91:T92)</f>
        <v>1.2470264989597175</v>
      </c>
      <c r="U90" s="44">
        <f t="shared" si="75"/>
        <v>1.2470264989597175</v>
      </c>
      <c r="V90" s="44">
        <f t="shared" si="75"/>
        <v>1.2470264989597175</v>
      </c>
      <c r="W90" s="44">
        <f t="shared" si="75"/>
        <v>0</v>
      </c>
      <c r="X90" s="44">
        <f t="shared" si="75"/>
        <v>1.2470264989597175</v>
      </c>
      <c r="Y90" s="44">
        <f t="shared" si="75"/>
        <v>1.2470264989597175</v>
      </c>
      <c r="Z90" s="44">
        <f t="shared" si="75"/>
        <v>0</v>
      </c>
      <c r="AA90" s="44">
        <f t="shared" si="75"/>
        <v>0</v>
      </c>
      <c r="AB90" s="44">
        <f t="shared" si="75"/>
        <v>1.2470264989597175</v>
      </c>
      <c r="AC90" s="44">
        <f t="shared" si="75"/>
        <v>0</v>
      </c>
      <c r="AD90" s="44">
        <f>SUM(AD91:AD93)</f>
        <v>40.849026498959716</v>
      </c>
      <c r="AE90" s="44">
        <f t="shared" ref="AE90:AH90" si="76">SUM(AE91:AE93)</f>
        <v>0</v>
      </c>
      <c r="AF90" s="44">
        <f t="shared" si="76"/>
        <v>0</v>
      </c>
      <c r="AG90" s="44">
        <f t="shared" si="76"/>
        <v>30.386026498959712</v>
      </c>
      <c r="AH90" s="44">
        <f t="shared" si="76"/>
        <v>10.462999999999999</v>
      </c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3"/>
      <c r="BO90" s="13"/>
      <c r="BP90" s="13"/>
      <c r="BQ90" s="13"/>
      <c r="BR90" s="18"/>
      <c r="BS90" s="13"/>
      <c r="BT90" s="13"/>
      <c r="BU90" s="13"/>
      <c r="BV90" s="13"/>
      <c r="BW90" s="33" t="s">
        <v>161</v>
      </c>
    </row>
    <row r="91" spans="1:75" s="17" customFormat="1" ht="94.5" x14ac:dyDescent="0.25">
      <c r="A91" s="51" t="s">
        <v>197</v>
      </c>
      <c r="B91" s="27" t="s">
        <v>204</v>
      </c>
      <c r="C91" s="33" t="s">
        <v>199</v>
      </c>
      <c r="D91" s="33" t="s">
        <v>166</v>
      </c>
      <c r="E91" s="28">
        <v>2019</v>
      </c>
      <c r="F91" s="28">
        <f>G91</f>
        <v>2019</v>
      </c>
      <c r="G91" s="28">
        <v>2019</v>
      </c>
      <c r="H91" s="29" t="s">
        <v>161</v>
      </c>
      <c r="I91" s="44">
        <f>L91</f>
        <v>0.75</v>
      </c>
      <c r="J91" s="28" t="str">
        <f>M91</f>
        <v>фев.2018г.</v>
      </c>
      <c r="K91" s="29" t="s">
        <v>161</v>
      </c>
      <c r="L91" s="29">
        <f>0.75</f>
        <v>0.75</v>
      </c>
      <c r="M91" s="33" t="s">
        <v>208</v>
      </c>
      <c r="N91" s="28" t="s">
        <v>161</v>
      </c>
      <c r="O91" s="28" t="s">
        <v>161</v>
      </c>
      <c r="P91" s="28" t="s">
        <v>161</v>
      </c>
      <c r="Q91" s="28" t="s">
        <v>161</v>
      </c>
      <c r="R91" s="28" t="s">
        <v>161</v>
      </c>
      <c r="S91" s="28" t="s">
        <v>161</v>
      </c>
      <c r="T91" s="44">
        <f>U91</f>
        <v>0.79677868879022595</v>
      </c>
      <c r="U91" s="30">
        <f>0.785/1.046*1.044/1.18*1.2</f>
        <v>0.79677868879022595</v>
      </c>
      <c r="V91" s="44">
        <f>X91</f>
        <v>0.79677868879022595</v>
      </c>
      <c r="W91" s="33"/>
      <c r="X91" s="30">
        <f>U91</f>
        <v>0.79677868879022595</v>
      </c>
      <c r="Y91" s="44">
        <f>AD91</f>
        <v>0.79677868879022595</v>
      </c>
      <c r="Z91" s="44">
        <v>0</v>
      </c>
      <c r="AA91" s="44">
        <v>0</v>
      </c>
      <c r="AB91" s="44">
        <f>AG91</f>
        <v>0.79677868879022595</v>
      </c>
      <c r="AC91" s="44">
        <v>0</v>
      </c>
      <c r="AD91" s="30">
        <f>U91</f>
        <v>0.79677868879022595</v>
      </c>
      <c r="AE91" s="44">
        <v>0</v>
      </c>
      <c r="AF91" s="44">
        <v>0</v>
      </c>
      <c r="AG91" s="30">
        <f>AD91</f>
        <v>0.79677868879022595</v>
      </c>
      <c r="AH91" s="44">
        <v>0</v>
      </c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2"/>
      <c r="BO91" s="32"/>
      <c r="BP91" s="32"/>
      <c r="BQ91" s="32"/>
      <c r="BR91" s="31"/>
      <c r="BS91" s="32"/>
      <c r="BT91" s="32"/>
      <c r="BU91" s="32"/>
      <c r="BV91" s="32"/>
      <c r="BW91" s="10" t="s">
        <v>161</v>
      </c>
    </row>
    <row r="92" spans="1:75" s="17" customFormat="1" ht="63" x14ac:dyDescent="0.25">
      <c r="A92" s="51" t="s">
        <v>198</v>
      </c>
      <c r="B92" s="27" t="s">
        <v>205</v>
      </c>
      <c r="C92" s="33" t="s">
        <v>200</v>
      </c>
      <c r="D92" s="33" t="s">
        <v>166</v>
      </c>
      <c r="E92" s="28">
        <v>2019</v>
      </c>
      <c r="F92" s="28">
        <f>G92</f>
        <v>2019</v>
      </c>
      <c r="G92" s="28">
        <v>2019</v>
      </c>
      <c r="H92" s="44">
        <v>0</v>
      </c>
      <c r="I92" s="44">
        <f>L92</f>
        <v>0.42352890399999998</v>
      </c>
      <c r="J92" s="28" t="str">
        <f>M92</f>
        <v>янв.2018г.</v>
      </c>
      <c r="K92" s="29">
        <f>59.35277/1000*1.18</f>
        <v>7.0036268599999993E-2</v>
      </c>
      <c r="L92" s="29">
        <f>0.3589228*1.18</f>
        <v>0.42352890399999998</v>
      </c>
      <c r="M92" s="33" t="s">
        <v>206</v>
      </c>
      <c r="N92" s="33" t="s">
        <v>161</v>
      </c>
      <c r="O92" s="33" t="s">
        <v>161</v>
      </c>
      <c r="P92" s="59" t="s">
        <v>161</v>
      </c>
      <c r="Q92" s="28" t="s">
        <v>161</v>
      </c>
      <c r="R92" s="28" t="s">
        <v>161</v>
      </c>
      <c r="S92" s="28" t="s">
        <v>161</v>
      </c>
      <c r="T92" s="44">
        <f>U92</f>
        <v>0.4502478101694915</v>
      </c>
      <c r="U92" s="30">
        <f>0.44274368/1.18*1.2</f>
        <v>0.4502478101694915</v>
      </c>
      <c r="V92" s="44">
        <f>X92</f>
        <v>0.4502478101694915</v>
      </c>
      <c r="W92" s="33" t="s">
        <v>161</v>
      </c>
      <c r="X92" s="30">
        <f>U92</f>
        <v>0.4502478101694915</v>
      </c>
      <c r="Y92" s="44">
        <f>AD92</f>
        <v>0.4502478101694915</v>
      </c>
      <c r="Z92" s="53">
        <v>0</v>
      </c>
      <c r="AA92" s="53">
        <v>0</v>
      </c>
      <c r="AB92" s="44">
        <f>AD92</f>
        <v>0.4502478101694915</v>
      </c>
      <c r="AC92" s="53">
        <v>0</v>
      </c>
      <c r="AD92" s="30">
        <f>U92</f>
        <v>0.4502478101694915</v>
      </c>
      <c r="AE92" s="53">
        <v>0</v>
      </c>
      <c r="AF92" s="53">
        <v>0</v>
      </c>
      <c r="AG92" s="30">
        <f>AD92</f>
        <v>0.4502478101694915</v>
      </c>
      <c r="AH92" s="53">
        <v>0</v>
      </c>
      <c r="AI92" s="33" t="s">
        <v>161</v>
      </c>
      <c r="AJ92" s="33" t="s">
        <v>161</v>
      </c>
      <c r="AK92" s="33" t="s">
        <v>161</v>
      </c>
      <c r="AL92" s="33" t="s">
        <v>161</v>
      </c>
      <c r="AM92" s="33" t="s">
        <v>161</v>
      </c>
      <c r="AN92" s="33" t="s">
        <v>161</v>
      </c>
      <c r="AO92" s="33" t="s">
        <v>161</v>
      </c>
      <c r="AP92" s="33" t="s">
        <v>161</v>
      </c>
      <c r="AQ92" s="33" t="s">
        <v>161</v>
      </c>
      <c r="AR92" s="33" t="s">
        <v>161</v>
      </c>
      <c r="AS92" s="33" t="s">
        <v>161</v>
      </c>
      <c r="AT92" s="33" t="s">
        <v>161</v>
      </c>
      <c r="AU92" s="33" t="s">
        <v>161</v>
      </c>
      <c r="AV92" s="33" t="s">
        <v>161</v>
      </c>
      <c r="AW92" s="33" t="s">
        <v>161</v>
      </c>
      <c r="AX92" s="33" t="s">
        <v>161</v>
      </c>
      <c r="AY92" s="33" t="s">
        <v>161</v>
      </c>
      <c r="AZ92" s="33" t="s">
        <v>161</v>
      </c>
      <c r="BA92" s="33" t="s">
        <v>161</v>
      </c>
      <c r="BB92" s="33" t="s">
        <v>161</v>
      </c>
      <c r="BC92" s="33" t="s">
        <v>161</v>
      </c>
      <c r="BD92" s="33" t="s">
        <v>161</v>
      </c>
      <c r="BE92" s="33" t="s">
        <v>161</v>
      </c>
      <c r="BF92" s="33" t="s">
        <v>161</v>
      </c>
      <c r="BG92" s="33" t="s">
        <v>161</v>
      </c>
      <c r="BH92" s="33" t="s">
        <v>161</v>
      </c>
      <c r="BI92" s="33" t="s">
        <v>161</v>
      </c>
      <c r="BJ92" s="33" t="s">
        <v>161</v>
      </c>
      <c r="BK92" s="33" t="s">
        <v>161</v>
      </c>
      <c r="BL92" s="33" t="s">
        <v>161</v>
      </c>
      <c r="BM92" s="33" t="s">
        <v>161</v>
      </c>
      <c r="BN92" s="33" t="s">
        <v>161</v>
      </c>
      <c r="BO92" s="33" t="s">
        <v>161</v>
      </c>
      <c r="BP92" s="33" t="s">
        <v>161</v>
      </c>
      <c r="BQ92" s="33" t="s">
        <v>161</v>
      </c>
      <c r="BR92" s="33" t="s">
        <v>161</v>
      </c>
      <c r="BS92" s="33" t="s">
        <v>161</v>
      </c>
      <c r="BT92" s="33" t="s">
        <v>161</v>
      </c>
      <c r="BU92" s="33" t="s">
        <v>161</v>
      </c>
      <c r="BV92" s="33" t="s">
        <v>161</v>
      </c>
      <c r="BW92" s="49" t="s">
        <v>161</v>
      </c>
    </row>
    <row r="93" spans="1:75" s="17" customFormat="1" ht="51.75" customHeight="1" x14ac:dyDescent="0.25">
      <c r="A93" s="56" t="s">
        <v>165</v>
      </c>
      <c r="B93" s="27" t="s">
        <v>241</v>
      </c>
      <c r="C93" s="56" t="s">
        <v>242</v>
      </c>
      <c r="D93" s="56" t="s">
        <v>166</v>
      </c>
      <c r="E93" s="28">
        <v>2019</v>
      </c>
      <c r="F93" s="28">
        <v>2019</v>
      </c>
      <c r="G93" s="28">
        <v>2019</v>
      </c>
      <c r="H93" s="44">
        <v>0</v>
      </c>
      <c r="I93" s="44">
        <v>0</v>
      </c>
      <c r="J93" s="28" t="s">
        <v>161</v>
      </c>
      <c r="K93" s="29">
        <v>0</v>
      </c>
      <c r="L93" s="29">
        <v>39.601999999999997</v>
      </c>
      <c r="M93" s="56" t="s">
        <v>243</v>
      </c>
      <c r="N93" s="56" t="s">
        <v>161</v>
      </c>
      <c r="O93" s="59" t="s">
        <v>161</v>
      </c>
      <c r="P93" s="59" t="s">
        <v>161</v>
      </c>
      <c r="Q93" s="28" t="s">
        <v>161</v>
      </c>
      <c r="R93" s="28" t="s">
        <v>161</v>
      </c>
      <c r="S93" s="28" t="s">
        <v>161</v>
      </c>
      <c r="T93" s="44">
        <v>0</v>
      </c>
      <c r="U93" s="30">
        <f>L93</f>
        <v>39.601999999999997</v>
      </c>
      <c r="V93" s="44">
        <v>0</v>
      </c>
      <c r="W93" s="56"/>
      <c r="X93" s="30">
        <v>0</v>
      </c>
      <c r="Y93" s="44">
        <v>0</v>
      </c>
      <c r="Z93" s="53">
        <v>0</v>
      </c>
      <c r="AA93" s="53">
        <v>0</v>
      </c>
      <c r="AB93" s="44">
        <v>0</v>
      </c>
      <c r="AC93" s="53">
        <v>0</v>
      </c>
      <c r="AD93" s="30">
        <f>U93</f>
        <v>39.601999999999997</v>
      </c>
      <c r="AE93" s="53">
        <v>0</v>
      </c>
      <c r="AF93" s="53">
        <v>0</v>
      </c>
      <c r="AG93" s="30">
        <f>U93-10.463</f>
        <v>29.138999999999996</v>
      </c>
      <c r="AH93" s="53">
        <v>10.462999999999999</v>
      </c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8"/>
    </row>
  </sheetData>
  <mergeCells count="39">
    <mergeCell ref="A17:AH17"/>
    <mergeCell ref="A12:AH12"/>
    <mergeCell ref="A13:AH13"/>
    <mergeCell ref="A14:AH14"/>
    <mergeCell ref="A15:AH15"/>
    <mergeCell ref="A16:AH16"/>
    <mergeCell ref="A18:AH18"/>
    <mergeCell ref="A19:AH19"/>
    <mergeCell ref="A20:AH20"/>
    <mergeCell ref="BM21:BW21"/>
    <mergeCell ref="A22:A24"/>
    <mergeCell ref="B22:B24"/>
    <mergeCell ref="C22:C24"/>
    <mergeCell ref="D22:D24"/>
    <mergeCell ref="E22:E24"/>
    <mergeCell ref="F22:G23"/>
    <mergeCell ref="Y22:AH22"/>
    <mergeCell ref="AI22:BV22"/>
    <mergeCell ref="BW22:BW24"/>
    <mergeCell ref="H23:J23"/>
    <mergeCell ref="K23:M23"/>
    <mergeCell ref="P23:Q23"/>
    <mergeCell ref="R23:S23"/>
    <mergeCell ref="Y23:AC23"/>
    <mergeCell ref="AD23:AH23"/>
    <mergeCell ref="AI23:AM23"/>
    <mergeCell ref="H22:M22"/>
    <mergeCell ref="N22:N24"/>
    <mergeCell ref="O22:O24"/>
    <mergeCell ref="P22:S22"/>
    <mergeCell ref="T22:U23"/>
    <mergeCell ref="V22:X23"/>
    <mergeCell ref="BR23:BV23"/>
    <mergeCell ref="AN23:AR23"/>
    <mergeCell ref="AS23:AW23"/>
    <mergeCell ref="AX23:BB23"/>
    <mergeCell ref="BC23:BG23"/>
    <mergeCell ref="BH23:BL23"/>
    <mergeCell ref="BM23:BQ23"/>
  </mergeCells>
  <pageMargins left="0.19685039370078741" right="0.19685039370078741" top="0.35433070866141736" bottom="0.15748031496062992" header="0.31496062992125984" footer="0.31496062992125984"/>
  <pageSetup paperSize="8" scale="40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+iIXmApsBp0UBM6966y40WaxWsI8McgjvgpR76VrCnA=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KFXYPIDF3NqHidp4KuOEFMBWV1VFZ9UN6JfKwf3AX8M=</DigestValue>
    </Reference>
  </SignedInfo>
  <SignatureValue>Jd3cdB+4kn+ELjfDhcXfiXFFJugDVFZb/Tct4HUZFZBfwSZFn+97MW3z1J367wDy
o8va88+XYhE1x0D/tvOiRw==</SignatureValue>
  <KeyInfo>
    <X509Data>
      <X509Certificate>MIIKCTCCCbagAwIBAgIQaAZQABWqUrFLaiqBsLzJ8TAKBggqhQMHAQEDAjCCAcQx
GzAZBgkqhkiG9w0BCQEWDGNhQHNlcnR1bS5ydTEYMBYGBSqFA2QBEg0xMTE2Njcz
MDA4NTM5MRowGAYIKoUDA4EDAQESDDAwNjY3MzI0MDMyODELMAkGA1UEBhMCUlUx
MzAxBgNVBAgMKjY2INCh0LLQtdGA0LTQu9C+0LLRgdC60LDRjyDQvtCx0LvQsNGB
0YLRjDEhMB8GA1UEBwwY0JXQutCw0YLQtdGA0LjQvdCx0YPRgNCzMS4wLAYDVQQJ
DCXRg9C7LiDQo9C70YzRj9C90L7QstGB0LrQsNGPINC0LiAxM9CQMWwwagYDVQQK
DGPQntCx0YnQtdGB0YLQstC+INGBINC+0LPRgNCw0L3QuNGH0LXQvdC90L7QuSDQ
vtGC0LLQtdGC0YHRgtCy0LXQvdC90L7RgdGC0YzRjiAi0KHQtdGA0YLRg9C8LdCf
0YDQviIxbDBqBgNVBAMMY9Ce0LHRidC10YHRgtCy0L4g0YEg0L7Qs9GA0LDQvdC4
0YfQtdC90L3QvtC5INC+0YLQstC10YLRgdGC0LLQtdC90L3QvtGB0YLRjNGOICLQ
odC10YDRgtGD0Lwt0J/RgNC+IjAeFw0xOTAzMTkwNDQ2MjJaFw0yMDAzMTkwODI4
MDFaMIICOjEnMCUGCSqGSIb3DQEJARYYZS5tZXplbnNldmFAc2RzZW5lcmdvLnJ1
MRowGAYIKoUDA4EDAQESDDAwNDI1MDAwMzQ1MDEWMBQGBSqFA2QDEgsxMDc5OTQ1
NTMwMDEYMBYGBSqFA2QBEg0xMDY0MjUwMDEwMjQxMXcwdQYDVQQMDG7Ql9Cw0LzQ
tdGB0YLQuNGC0LXQu9GMINCz0LXQvdC10YDQsNC70YzQvdC+0LPQviDQtNC40YDQ
tdC60YLQvtGA0LAg0L/QviDRjdC60L7QvdC+0LzQuNC60LUg0Lgg0YTQuNC90LDQ
vdGB0LDQvDEsMCoGA1UECgwj0J7QntCeINCl0JogItCh0JTQoSAtINCt0J3QldCg
0JPQniIxQDA+BgNVBAkMN9Cf0KAt0JrQoiDQntCa0KLQr9CR0KDQrNCh0JrQmNCZ
LCDQlNCe0JwgNTMvMiwg0J7QpCA0MDExGTAXBgNVBAcMENCa0LXQvNC10YDQvtCy
0L4xMTAvBgNVBAgMKDQyINCa0LXQvNC10YDQvtCy0YHQutCw0Y8g0L7QsdC70LDR
gdGC0YwxCzAJBgNVBAYTAlJVMTIwMAYDVQQqDCnQldCy0LPQtdC90LjRjyDQkNC7
0LXQutGB0LDQvdC00YDQvtCy0L3QsDEbMBkGA1UEBAwS0JzQtdC30LXQvdGG0LXQ
stCwMSwwKgYDVQQDDCPQntCe0J4g0KXQmiAi0KHQlNChIC0g0K3QndCV0KDQk9Ce
IjBmMB8GCCqFAwcBAQEBMBMGByqFAwICJAAGCCqFAwcBAQICA0MABEDhwwvLEG4R
pyCDSxNNgE44U3nYICbnBdSYQa/xyDqT7UnlVSPo8d6/yqbNMzIwGtpXXXn+4pGT
+K7rwewI2q87o4IFATCCBP0wDgYDVR0PAQH/BAQDAgTwMCMGA1UdEQQcMBqBGGUu
bWV6ZW5zZXZhQHNkc2VuZXJnby5ydTATBgNVHSAEDDAKMAgGBiqFA2RxATBCBgNV
HSUEOzA5BggrBgEFBQcDAgYHKoUDAgIiBgYIKwYBBQUHAwQGByqFAwOBOQEGCCqF
AwMFCgIMBgcqhQMDBwgBMIHUBggrBgEFBQcBAQSBxzCBxDA2BggrBgEFBQcwAYYq
aHR0cDovL3BraS5zZXJ0dW0tcHJvLnJ1L29jc3AyMDEyL29jc3Auc3JmMEYGCCsG
AQUFBzAChjpodHRwOi8vY2Euc2VydHVtLXByby5ydS9jZXJ0aWZpY2F0ZXMvc2Vy
dHVtLXByby1xLTIwMTguY3J0MEIGCCsGAQUFBzAChjZodHRwOi8vY2Euc2VydHVt
LnJ1L2NlcnRpZmljYXRlcy9zZXJ0dW0tcHJvLXEtMjAxOC5jcnQwKwYDVR0QBCQw
IoAPMjAxOTAzMTkwNDQ2MjJagQ8yMDIwMDMxOTA4MjgwMVowggEzBgUqhQNkcASC
ASgwggEkDCsi0JrRgNC40L/RgtC+0J/RgNC+IENTUCIgKNCy0LXRgNGB0LjRjyA0
LjApDFMi0KPQtNC+0YHRgtC+0LLQtdGA0Y/RjtGJ0LjQuSDRhtC10L3RgtGAICLQ
mtGA0LjQv9GC0L7Qn9GA0L4g0KPQpiIg0LLQtdGA0YHQuNC4IDIuMAxP0KHQtdGA
0YLQuNGE0LjQutCw0YIg0YHQvtC+0YLQstC10YLRgdGC0LLQuNGPIOKEliDQodCk
LzEyNC0zMzgwINC+0YIgMTEuMDUuMjAxOAxP0KHQtdGA0YLQuNGE0LjQutCw0YIg
0YHQvtC+0YLQstC10YLRgdGC0LLQuNGPIOKEliDQodCkLzEyOC0zNTkyINC+0YIg
MTcuMTAuMjAxODA2BgUqhQNkbwQtDCsi0JrRgNC40L/RgtC+0J/RgNC+IENTUCIg
KNCy0LXRgNGB0LjRjyA0LjApMHcGA1UdHwRwMG4wN6A1oDOGMWh0dHA6Ly9jYS5z
ZXJ0dW0tcHJvLnJ1L2NkcC9zZXJ0dW0tcHJvLXEtMjAxOC5jcmwwM6AxoC+GLWh0
dHA6Ly9jYS5zZXJ0dW0ucnUvY2RwL3NlcnR1bS1wcm8tcS0yMDE4LmNybDCCAWAG
A1UdIwSCAVcwggFTgBQmYIMF8m/eyBpcQy3Obt448mvR1qGCASykggEoMIIBJDEe
MBwGCSqGSIb3DQEJARYPZGl0QG1pbnN2eWF6LnJ1MQswCQYDVQQGEwJSVTEYMBYG
A1UECAwPNzcg0JzQvtGB0LrQstCwMRkwFwYDVQQHDBDQsy4g0JzQvtGB0LrQstCw
MS4wLAYDVQQJDCXRg9C70LjRhtCwINCi0LLQtdGA0YHQutCw0Y8sINC00L7QvCA3
MSwwKgYDVQQKDCPQnNC40L3QutC+0LzRgdCy0Y/Qt9GMINCg0L7RgdGB0LjQuDEY
MBYGBSqFA2QBEg0xMDQ3NzAyMDI2NzAxMRowGAYIKoUDA4EDAQESDDAwNzcxMDQ3
NDM3NTEsMCoGA1UEAwwj0JzQuNC90LrQvtC80YHQstGP0LfRjCDQoNC+0YHRgdC4
0LiCCwCCZ2UFAAAAAAAbMB0GA1UdDgQWBBSS5urLpbY5evT0VBpmoUgG5rBuATAK
BggqhQMHAQEDAgNBAIXpa7HPQ1aUYhSfI75tRS/HkitrjBgnPCcsEmlA3IxPq91b
fI+Ev2613vSXCqSN56M5Qz+e9gfISk6eKGyK6gU=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/xJPRzobBBrktX4S4fWitMtSjio=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Lm/99mCi3bXQViuYiVh/wJrPZFw=</DigestValue>
      </Reference>
      <Reference URI="/xl/sharedStrings.xml?ContentType=application/vnd.openxmlformats-officedocument.spreadsheetml.sharedStrings+xml">
        <DigestMethod Algorithm="http://www.w3.org/2000/09/xmldsig#sha1"/>
        <DigestValue>OCW3JRIARUlmRz+czkUYXgutmKA=</DigestValue>
      </Reference>
      <Reference URI="/xl/styles.xml?ContentType=application/vnd.openxmlformats-officedocument.spreadsheetml.styles+xml">
        <DigestMethod Algorithm="http://www.w3.org/2000/09/xmldsig#sha1"/>
        <DigestValue>aR3sPe54UlXZKXUd15tG4WyxwfI=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xVzR3AiHNG+3QqfbseVKQYAnZAo=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p9G2JLl+9+TpTgyb1GVTF7koQmg=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2019-04-04T01:11:38Z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2019-04-04T01:11:38Z</xd:SigningTime>
          <xd:SigningCertificate>
            <xd:Cert>
              <xd:CertDigest>
                <DigestMethod Algorithm="http://www.w3.org/2000/09/xmldsig#sha1"/>
                <DigestValue>BCTdAKvbwK+ymn7xsbFPLkv0Ub0=</DigestValue>
              </xd:CertDigest>
              <xd:IssuerSerial>
                <X509IssuerName>CN="Общество с ограниченной ответственностью ""Сертум-Про""", O="Общество с ограниченной ответственностью ""Сертум-Про""", STREET=ул. Ульяновская д. 13А, L=Екатеринбург, S=66 Свердловская область, C=RU, ИНН=006673240328, ОГРН=1116673008539, E=ca@sertum.ru</X509IssuerName>
                <X509SerialNumber>138272487942255844981543265424532883953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2019-04-03T10:59:23Z</dcterms:modified>
</cp:coreProperties>
</file>